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rome\Documents\BTO\Budget\"/>
    </mc:Choice>
  </mc:AlternateContent>
  <xr:revisionPtr revIDLastSave="0" documentId="13_ncr:1_{8FD61340-F1FF-4FDF-868A-DDD9B463C63C}" xr6:coauthVersionLast="47" xr6:coauthVersionMax="47" xr10:uidLastSave="{00000000-0000-0000-0000-000000000000}"/>
  <bookViews>
    <workbookView xWindow="28680" yWindow="-120" windowWidth="29040" windowHeight="15840" tabRatio="863" activeTab="10" xr2:uid="{BC5E5314-FC1A-4BCB-B645-53D866A5B996}"/>
  </bookViews>
  <sheets>
    <sheet name="Funding Plan" sheetId="7" r:id="rId1"/>
    <sheet name="Assumptions" sheetId="10" state="hidden" r:id="rId2"/>
    <sheet name="Elec" sheetId="11" state="hidden" r:id="rId3"/>
    <sheet name="Services" sheetId="12" state="hidden" r:id="rId4"/>
    <sheet name="Impairment" sheetId="13" state="hidden" r:id="rId5"/>
    <sheet name="Progress" sheetId="18" r:id="rId6"/>
    <sheet name="SA30" sheetId="5" state="hidden" r:id="rId7"/>
    <sheet name="A7" sheetId="6" state="hidden" r:id="rId8"/>
    <sheet name="AFS &amp; Performance History" sheetId="3" r:id="rId9"/>
    <sheet name="Funding Activities" sheetId="9" r:id="rId10"/>
    <sheet name="Funding_2023" sheetId="8" r:id="rId11"/>
    <sheet name="CashFlow" sheetId="17" r:id="rId12"/>
    <sheet name="C4 - JAN 2024" sheetId="19" r:id="rId13"/>
    <sheet name="Payroll_draft_actuals" sheetId="16"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KannaCash">'[1]Template names'!$B$3</definedName>
    <definedName name="Approve4">'[2]Template names'!$B$103</definedName>
    <definedName name="Approve7">'[3]Template names'!$B$106</definedName>
    <definedName name="date">[4]Instructions!$X$11</definedName>
    <definedName name="desc" localSheetId="12">'[4]Template names'!$B$27</definedName>
    <definedName name="desc">'[2]Template names'!$B$30</definedName>
    <definedName name="Expenditure">Funding_2023!$A$24:$A$34</definedName>
    <definedName name="Head1" localSheetId="12">'[4]Template names'!$B$2</definedName>
    <definedName name="Head1">'[2]Template names'!$B$2</definedName>
    <definedName name="Head10">'[2]Template names'!$B$16</definedName>
    <definedName name="Head11">'[2]Template names'!$B$17</definedName>
    <definedName name="Head12">'[2]Template names'!$B$18</definedName>
    <definedName name="Head13">'[2]Template names'!$B$19</definedName>
    <definedName name="Head14">'[2]Template names'!$B$20</definedName>
    <definedName name="Head15">'[2]Template names'!$B$21</definedName>
    <definedName name="Head16">'[2]Template names'!$B$22</definedName>
    <definedName name="Head17">'[2]Template names'!$B$23</definedName>
    <definedName name="Head18">'[2]Template names'!$B$24</definedName>
    <definedName name="Head19">'[2]Template names'!$B$25</definedName>
    <definedName name="head1A">'[2]Template names'!$B$3</definedName>
    <definedName name="head1b">'[2]Template names'!$B$4</definedName>
    <definedName name="Head2" localSheetId="12">'[4]Template names'!$B$3</definedName>
    <definedName name="Head2">'[2]Template names'!$B$5</definedName>
    <definedName name="Head20">'[2]Template names'!$B$26</definedName>
    <definedName name="Head21">'[2]Template names'!$B$27</definedName>
    <definedName name="Head22">'[2]Template names'!$B$28</definedName>
    <definedName name="Head23">'[2]Template names'!$B$29</definedName>
    <definedName name="head27" localSheetId="12">'[4]Template names'!$B$30</definedName>
    <definedName name="head27">'[2]Template names'!$B$33</definedName>
    <definedName name="head27a" localSheetId="12">'[4]Template names'!$B$31</definedName>
    <definedName name="head27a">'[2]Template names'!$B$34</definedName>
    <definedName name="Head3">'[2]Template names'!$B$7</definedName>
    <definedName name="Head38">'[4]Template names'!$B$42</definedName>
    <definedName name="Head39">'[4]Template names'!$B$43</definedName>
    <definedName name="Head4">'[2]Template names'!$B$8</definedName>
    <definedName name="Head40">'[4]Template names'!$B$44</definedName>
    <definedName name="Head41">'[4]Template names'!$B$45</definedName>
    <definedName name="Head5" localSheetId="12">'[4]Template names'!$B$6</definedName>
    <definedName name="Head5">'[2]Template names'!$B$9</definedName>
    <definedName name="Head5b">'[2]Template names'!$B$11</definedName>
    <definedName name="Head6" localSheetId="12">'[4]Template names'!$B$9</definedName>
    <definedName name="Head6">'[2]Template names'!$B$12</definedName>
    <definedName name="Head7" localSheetId="12">'[4]Template names'!$B$10</definedName>
    <definedName name="Head7">'[2]Template names'!$B$13</definedName>
    <definedName name="Head8" localSheetId="12">'[4]Template names'!$B$11</definedName>
    <definedName name="Head8">'[2]Template names'!$B$14</definedName>
    <definedName name="Head9">'[2]Template names'!$B$15</definedName>
    <definedName name="muni" localSheetId="12">'[4]Template names'!$B$73</definedName>
    <definedName name="muni">'[2]Template names'!$B$93</definedName>
    <definedName name="Prior">[5]Admin_Parameters!$C$19</definedName>
    <definedName name="result">'[2]Template names'!$B$35</definedName>
    <definedName name="Revenue">Funding_2023!$A$5:$A$20</definedName>
    <definedName name="S71B">'[4]Template names'!$B$80</definedName>
    <definedName name="TableA30">'[3]Template names'!$B$142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 i="19" l="1"/>
  <c r="M57" i="19"/>
  <c r="M60" i="19" s="1"/>
  <c r="L57" i="19"/>
  <c r="L60" i="19" s="1"/>
  <c r="I53" i="19"/>
  <c r="J53" i="19" s="1"/>
  <c r="M52" i="19"/>
  <c r="L52" i="19"/>
  <c r="J51" i="19"/>
  <c r="I51" i="19"/>
  <c r="I50" i="19"/>
  <c r="J50" i="19" s="1"/>
  <c r="H49" i="19"/>
  <c r="H52" i="19" s="1"/>
  <c r="H54" i="19" s="1"/>
  <c r="H57" i="19" s="1"/>
  <c r="H60" i="19" s="1"/>
  <c r="K48" i="19"/>
  <c r="H48" i="19"/>
  <c r="G48" i="19"/>
  <c r="I48" i="19" s="1"/>
  <c r="J48" i="19" s="1"/>
  <c r="F48" i="19"/>
  <c r="E48" i="19"/>
  <c r="D48" i="19"/>
  <c r="C48" i="19"/>
  <c r="L47" i="19"/>
  <c r="M47" i="19" s="1"/>
  <c r="J47" i="19"/>
  <c r="I47" i="19"/>
  <c r="L46" i="19"/>
  <c r="M46" i="19" s="1"/>
  <c r="J46" i="19"/>
  <c r="I46" i="19"/>
  <c r="L45" i="19"/>
  <c r="M45" i="19" s="1"/>
  <c r="J45" i="19"/>
  <c r="I45" i="19"/>
  <c r="L44" i="19"/>
  <c r="M44" i="19" s="1"/>
  <c r="J44" i="19"/>
  <c r="I44" i="19"/>
  <c r="L43" i="19"/>
  <c r="M43" i="19" s="1"/>
  <c r="J43" i="19"/>
  <c r="I43" i="19"/>
  <c r="L42" i="19"/>
  <c r="M42" i="19" s="1"/>
  <c r="J42" i="19"/>
  <c r="I42" i="19"/>
  <c r="O41" i="19"/>
  <c r="L41" i="19"/>
  <c r="M41" i="19" s="1"/>
  <c r="J41" i="19"/>
  <c r="I41" i="19"/>
  <c r="L40" i="19"/>
  <c r="M40" i="19" s="1"/>
  <c r="J40" i="19"/>
  <c r="I40" i="19"/>
  <c r="L39" i="19"/>
  <c r="M39" i="19" s="1"/>
  <c r="J39" i="19"/>
  <c r="I39" i="19"/>
  <c r="L38" i="19"/>
  <c r="M38" i="19" s="1"/>
  <c r="J38" i="19"/>
  <c r="I38" i="19"/>
  <c r="L37" i="19"/>
  <c r="M37" i="19" s="1"/>
  <c r="J37" i="19"/>
  <c r="I37" i="19"/>
  <c r="L36" i="19"/>
  <c r="L48" i="19" s="1"/>
  <c r="J36" i="19"/>
  <c r="I36" i="19"/>
  <c r="L35" i="19"/>
  <c r="M35" i="19" s="1"/>
  <c r="J35" i="19"/>
  <c r="I35" i="19"/>
  <c r="L33" i="19"/>
  <c r="O48" i="19" s="1"/>
  <c r="H33" i="19"/>
  <c r="H65" i="19" s="1"/>
  <c r="D33" i="19"/>
  <c r="D65" i="19" s="1"/>
  <c r="L32" i="19"/>
  <c r="M32" i="19" s="1"/>
  <c r="J32" i="19"/>
  <c r="I32" i="19"/>
  <c r="L31" i="19"/>
  <c r="M31" i="19" s="1"/>
  <c r="J31" i="19"/>
  <c r="I31" i="19"/>
  <c r="L30" i="19"/>
  <c r="M30" i="19" s="1"/>
  <c r="J30" i="19"/>
  <c r="I30" i="19"/>
  <c r="L29" i="19"/>
  <c r="M29" i="19" s="1"/>
  <c r="J29" i="19"/>
  <c r="I29" i="19"/>
  <c r="L28" i="19"/>
  <c r="M28" i="19" s="1"/>
  <c r="J28" i="19"/>
  <c r="I28" i="19"/>
  <c r="L27" i="19"/>
  <c r="M27" i="19" s="1"/>
  <c r="J27" i="19"/>
  <c r="I27" i="19"/>
  <c r="L26" i="19"/>
  <c r="M26" i="19" s="1"/>
  <c r="J26" i="19"/>
  <c r="I26" i="19"/>
  <c r="L25" i="19"/>
  <c r="M25" i="19" s="1"/>
  <c r="J25" i="19"/>
  <c r="I25" i="19"/>
  <c r="L24" i="19"/>
  <c r="M24" i="19" s="1"/>
  <c r="J24" i="19"/>
  <c r="I24" i="19"/>
  <c r="L23" i="19"/>
  <c r="M23" i="19" s="1"/>
  <c r="J23" i="19"/>
  <c r="I23" i="19"/>
  <c r="L22" i="19"/>
  <c r="M22" i="19" s="1"/>
  <c r="J22" i="19"/>
  <c r="I22" i="19"/>
  <c r="L21" i="19"/>
  <c r="K21" i="19"/>
  <c r="K33" i="19" s="1"/>
  <c r="H21" i="19"/>
  <c r="G21" i="19"/>
  <c r="I21" i="19" s="1"/>
  <c r="J21" i="19" s="1"/>
  <c r="F21" i="19"/>
  <c r="E21" i="19"/>
  <c r="D21" i="19"/>
  <c r="C21" i="19"/>
  <c r="C33" i="19" s="1"/>
  <c r="M20" i="19"/>
  <c r="L20" i="19"/>
  <c r="I20" i="19"/>
  <c r="J20" i="19" s="1"/>
  <c r="M19" i="19"/>
  <c r="L19" i="19"/>
  <c r="I19" i="19"/>
  <c r="J19" i="19" s="1"/>
  <c r="M18" i="19"/>
  <c r="L18" i="19"/>
  <c r="I18" i="19"/>
  <c r="J18" i="19" s="1"/>
  <c r="M17" i="19"/>
  <c r="L17" i="19"/>
  <c r="I17" i="19"/>
  <c r="J17" i="19" s="1"/>
  <c r="M16" i="19"/>
  <c r="L16" i="19"/>
  <c r="I16" i="19"/>
  <c r="J16" i="19" s="1"/>
  <c r="M15" i="19"/>
  <c r="L15" i="19"/>
  <c r="I15" i="19"/>
  <c r="J15" i="19" s="1"/>
  <c r="M14" i="19"/>
  <c r="L14" i="19"/>
  <c r="I14" i="19"/>
  <c r="J14" i="19" s="1"/>
  <c r="M13" i="19"/>
  <c r="L13" i="19"/>
  <c r="I13" i="19"/>
  <c r="J13" i="19" s="1"/>
  <c r="M12" i="19"/>
  <c r="L12" i="19"/>
  <c r="I12" i="19"/>
  <c r="J12" i="19" s="1"/>
  <c r="M11" i="19"/>
  <c r="L11" i="19"/>
  <c r="I11" i="19"/>
  <c r="J11" i="19" s="1"/>
  <c r="M10" i="19"/>
  <c r="L10" i="19"/>
  <c r="I10" i="19"/>
  <c r="J10" i="19" s="1"/>
  <c r="M9" i="19"/>
  <c r="L9" i="19"/>
  <c r="I9" i="19"/>
  <c r="J9" i="19" s="1"/>
  <c r="M8" i="19"/>
  <c r="L8" i="19"/>
  <c r="I8" i="19"/>
  <c r="J8" i="19" s="1"/>
  <c r="M7" i="19"/>
  <c r="L7" i="19"/>
  <c r="I7" i="19"/>
  <c r="J7" i="19" s="1"/>
  <c r="M6" i="19"/>
  <c r="L6" i="19"/>
  <c r="K6" i="19"/>
  <c r="J6" i="19"/>
  <c r="I6" i="19"/>
  <c r="I33" i="19" s="1"/>
  <c r="H6" i="19"/>
  <c r="G6" i="19"/>
  <c r="G33" i="19" s="1"/>
  <c r="F6" i="19"/>
  <c r="F33" i="19" s="1"/>
  <c r="E6" i="19"/>
  <c r="D6" i="19"/>
  <c r="C6" i="19"/>
  <c r="K3" i="19"/>
  <c r="J3" i="19"/>
  <c r="I3" i="19"/>
  <c r="H3" i="19"/>
  <c r="G3" i="19"/>
  <c r="F3" i="19"/>
  <c r="E3" i="19"/>
  <c r="D3" i="19"/>
  <c r="C3" i="19"/>
  <c r="D2" i="19"/>
  <c r="C2" i="19"/>
  <c r="B2" i="19"/>
  <c r="A2" i="19"/>
  <c r="A1" i="19"/>
  <c r="R5" i="8"/>
  <c r="M28" i="8"/>
  <c r="I37" i="8"/>
  <c r="H37" i="8"/>
  <c r="F37" i="8"/>
  <c r="E37" i="8"/>
  <c r="D37" i="8"/>
  <c r="I19" i="8"/>
  <c r="H19" i="8"/>
  <c r="G19" i="8"/>
  <c r="I12" i="8"/>
  <c r="H12" i="8"/>
  <c r="G12" i="8"/>
  <c r="G20" i="8"/>
  <c r="E19" i="8"/>
  <c r="I21" i="8"/>
  <c r="H21" i="8"/>
  <c r="G21" i="8"/>
  <c r="F21" i="8"/>
  <c r="E21" i="8"/>
  <c r="D21" i="8"/>
  <c r="D19" i="8"/>
  <c r="C19" i="8"/>
  <c r="F19" i="8"/>
  <c r="I35" i="8"/>
  <c r="H35" i="8"/>
  <c r="G35" i="8"/>
  <c r="F35" i="8"/>
  <c r="E35" i="8"/>
  <c r="D35" i="8"/>
  <c r="F33" i="8"/>
  <c r="C33" i="8"/>
  <c r="F16" i="8"/>
  <c r="C11" i="8"/>
  <c r="G37" i="8" l="1"/>
  <c r="E33" i="19"/>
  <c r="E65" i="19" s="1"/>
  <c r="K65" i="19"/>
  <c r="K49" i="19"/>
  <c r="K52" i="19" s="1"/>
  <c r="K54" i="19" s="1"/>
  <c r="K57" i="19" s="1"/>
  <c r="K60" i="19" s="1"/>
  <c r="F49" i="19"/>
  <c r="F52" i="19" s="1"/>
  <c r="F54" i="19" s="1"/>
  <c r="F57" i="19" s="1"/>
  <c r="F60" i="19" s="1"/>
  <c r="F65" i="19"/>
  <c r="C65" i="19"/>
  <c r="C49" i="19"/>
  <c r="C52" i="19" s="1"/>
  <c r="C54" i="19" s="1"/>
  <c r="C57" i="19" s="1"/>
  <c r="C60" i="19" s="1"/>
  <c r="G49" i="19"/>
  <c r="G52" i="19" s="1"/>
  <c r="G54" i="19" s="1"/>
  <c r="G57" i="19" s="1"/>
  <c r="G60" i="19" s="1"/>
  <c r="G65" i="19"/>
  <c r="J33" i="19"/>
  <c r="I65" i="19"/>
  <c r="I49" i="19"/>
  <c r="J49" i="19" s="1"/>
  <c r="M21" i="19"/>
  <c r="M33" i="19" s="1"/>
  <c r="H67" i="19"/>
  <c r="H68" i="19"/>
  <c r="M36" i="19"/>
  <c r="M48" i="19" s="1"/>
  <c r="D49" i="19"/>
  <c r="D52" i="19" s="1"/>
  <c r="D54" i="19" s="1"/>
  <c r="D57" i="19" s="1"/>
  <c r="D60" i="19" s="1"/>
  <c r="A2" i="18"/>
  <c r="D12" i="18" s="1"/>
  <c r="E49" i="19" l="1"/>
  <c r="E52" i="19" s="1"/>
  <c r="E54" i="19" s="1"/>
  <c r="E57" i="19" s="1"/>
  <c r="E60" i="19" s="1"/>
  <c r="E69" i="19" s="1"/>
  <c r="F68" i="19"/>
  <c r="F67" i="19"/>
  <c r="D67" i="19"/>
  <c r="D68" i="19"/>
  <c r="D69" i="19"/>
  <c r="G69" i="19"/>
  <c r="G67" i="19"/>
  <c r="G68" i="19"/>
  <c r="K69" i="19"/>
  <c r="K67" i="19"/>
  <c r="K68" i="19"/>
  <c r="C67" i="19"/>
  <c r="C68" i="19"/>
  <c r="C69" i="19"/>
  <c r="D48" i="18"/>
  <c r="D20" i="18"/>
  <c r="D16" i="18"/>
  <c r="D17" i="18"/>
  <c r="D13" i="18"/>
  <c r="D11" i="18"/>
  <c r="D9" i="18"/>
  <c r="D3" i="18"/>
  <c r="D39" i="18"/>
  <c r="D49" i="18"/>
  <c r="D50" i="18"/>
  <c r="D45" i="18"/>
  <c r="D46" i="18"/>
  <c r="D47" i="18"/>
  <c r="D43" i="18"/>
  <c r="D40" i="18"/>
  <c r="D41" i="18"/>
  <c r="D42" i="18"/>
  <c r="D33" i="18"/>
  <c r="D34" i="18"/>
  <c r="D35" i="18"/>
  <c r="D36" i="18"/>
  <c r="D37" i="18"/>
  <c r="D29" i="18"/>
  <c r="D30" i="18"/>
  <c r="D31" i="18"/>
  <c r="D26" i="18"/>
  <c r="D27" i="18"/>
  <c r="D28" i="18"/>
  <c r="D24" i="18"/>
  <c r="D22" i="18"/>
  <c r="D21" i="18"/>
  <c r="D23" i="18"/>
  <c r="D14" i="18"/>
  <c r="D7" i="18"/>
  <c r="D8" i="18"/>
  <c r="D15" i="18"/>
  <c r="D4" i="18"/>
  <c r="D5" i="18"/>
  <c r="D18" i="18"/>
  <c r="D10" i="18"/>
  <c r="D6" i="18"/>
  <c r="E68" i="19" l="1"/>
  <c r="E67" i="19"/>
  <c r="C69" i="17"/>
  <c r="B69" i="17"/>
  <c r="M61" i="17"/>
  <c r="M69" i="17" s="1"/>
  <c r="L61" i="17"/>
  <c r="L69" i="17" s="1"/>
  <c r="K61" i="17"/>
  <c r="K69" i="17" s="1"/>
  <c r="J61" i="17"/>
  <c r="J69" i="17" s="1"/>
  <c r="I61" i="17"/>
  <c r="I69" i="17" s="1"/>
  <c r="H61" i="17"/>
  <c r="H69" i="17" s="1"/>
  <c r="G61" i="17"/>
  <c r="G69" i="17" s="1"/>
  <c r="F61" i="17"/>
  <c r="F69" i="17" s="1"/>
  <c r="E61" i="17"/>
  <c r="E69" i="17" s="1"/>
  <c r="D61" i="17"/>
  <c r="D69" i="17" s="1"/>
  <c r="C61" i="17"/>
  <c r="B61" i="17"/>
  <c r="M29" i="17"/>
  <c r="M50" i="17" s="1"/>
  <c r="L29" i="17"/>
  <c r="L50" i="17" s="1"/>
  <c r="K29" i="17"/>
  <c r="K50" i="17" s="1"/>
  <c r="J29" i="17"/>
  <c r="J50" i="17" s="1"/>
  <c r="I29" i="17"/>
  <c r="I50" i="17" s="1"/>
  <c r="H29" i="17"/>
  <c r="H50" i="17" s="1"/>
  <c r="G29" i="17"/>
  <c r="G50" i="17" s="1"/>
  <c r="F29" i="17"/>
  <c r="F50" i="17" s="1"/>
  <c r="E29" i="17"/>
  <c r="E50" i="17" s="1"/>
  <c r="D29" i="17"/>
  <c r="D50" i="17" s="1"/>
  <c r="C29" i="17"/>
  <c r="C50" i="17" s="1"/>
  <c r="B29" i="17"/>
  <c r="B50" i="17" s="1"/>
  <c r="M23" i="17"/>
  <c r="L23" i="17"/>
  <c r="K23" i="17"/>
  <c r="J23" i="17"/>
  <c r="I23" i="17"/>
  <c r="H23" i="17"/>
  <c r="G23" i="17"/>
  <c r="F23" i="17"/>
  <c r="E23" i="17"/>
  <c r="D23" i="17"/>
  <c r="C23" i="17"/>
  <c r="B23" i="17"/>
  <c r="M9" i="17"/>
  <c r="M28" i="17" s="1"/>
  <c r="M52" i="17" s="1"/>
  <c r="M71" i="17" s="1"/>
  <c r="L9" i="17"/>
  <c r="K9" i="17"/>
  <c r="J9" i="17"/>
  <c r="I9" i="17"/>
  <c r="H9" i="17"/>
  <c r="H28" i="17" s="1"/>
  <c r="H52" i="17" s="1"/>
  <c r="G9" i="17"/>
  <c r="G28" i="17" s="1"/>
  <c r="G52" i="17" s="1"/>
  <c r="F9" i="17"/>
  <c r="F28" i="17" s="1"/>
  <c r="F52" i="17" s="1"/>
  <c r="F71" i="17" s="1"/>
  <c r="E9" i="17"/>
  <c r="E28" i="17" s="1"/>
  <c r="E52" i="17" s="1"/>
  <c r="E71" i="17" s="1"/>
  <c r="D9" i="17"/>
  <c r="D28" i="17" s="1"/>
  <c r="D52" i="17" s="1"/>
  <c r="C9" i="17"/>
  <c r="C28" i="17" s="1"/>
  <c r="C52" i="17" s="1"/>
  <c r="B9" i="17"/>
  <c r="G71" i="17" l="1"/>
  <c r="H71" i="17"/>
  <c r="B28" i="17"/>
  <c r="B52" i="17" s="1"/>
  <c r="B71" i="17" s="1"/>
  <c r="J28" i="17"/>
  <c r="J52" i="17" s="1"/>
  <c r="J71" i="17" s="1"/>
  <c r="C71" i="17"/>
  <c r="L28" i="17"/>
  <c r="L52" i="17" s="1"/>
  <c r="L71" i="17" s="1"/>
  <c r="K28" i="17"/>
  <c r="K52" i="17" s="1"/>
  <c r="K71" i="17" s="1"/>
  <c r="I28" i="17"/>
  <c r="I52" i="17" s="1"/>
  <c r="I71" i="17" s="1"/>
  <c r="D71" i="17"/>
  <c r="K13" i="13" l="1"/>
  <c r="J13" i="13"/>
  <c r="I13" i="13"/>
  <c r="K11" i="13"/>
  <c r="J11" i="13"/>
  <c r="K9" i="13"/>
  <c r="J9" i="13"/>
  <c r="I9" i="13"/>
  <c r="K7" i="13"/>
  <c r="J7" i="13"/>
  <c r="I7" i="13"/>
  <c r="K5" i="13"/>
  <c r="J5" i="13"/>
  <c r="I5" i="13"/>
  <c r="K3" i="13"/>
  <c r="J3" i="13"/>
  <c r="I3" i="13"/>
  <c r="G49" i="12"/>
  <c r="I47" i="12"/>
  <c r="H47" i="12"/>
  <c r="G47" i="12"/>
  <c r="G42" i="12"/>
  <c r="G50" i="12" s="1"/>
  <c r="H41" i="12"/>
  <c r="I41" i="12" s="1"/>
  <c r="I49" i="12" s="1"/>
  <c r="G40" i="12"/>
  <c r="G48" i="12" s="1"/>
  <c r="G39" i="12"/>
  <c r="H39" i="12" s="1"/>
  <c r="I31" i="12"/>
  <c r="H31" i="12"/>
  <c r="G31" i="12"/>
  <c r="I30" i="12"/>
  <c r="H30" i="12"/>
  <c r="G30" i="12"/>
  <c r="G24" i="12"/>
  <c r="G20" i="12"/>
  <c r="H20" i="12" s="1"/>
  <c r="H19" i="12"/>
  <c r="I19" i="12" s="1"/>
  <c r="G18" i="12"/>
  <c r="H18" i="12" s="1"/>
  <c r="I18" i="12" s="1"/>
  <c r="G17" i="12"/>
  <c r="G28" i="12" s="1"/>
  <c r="I9" i="12"/>
  <c r="H9" i="12"/>
  <c r="G9" i="12"/>
  <c r="G5" i="12"/>
  <c r="H5" i="12" s="1"/>
  <c r="I5" i="12" s="1"/>
  <c r="G4" i="12"/>
  <c r="M25" i="10"/>
  <c r="L25" i="10"/>
  <c r="K25" i="10"/>
  <c r="M24" i="10"/>
  <c r="L24" i="10"/>
  <c r="K24" i="10"/>
  <c r="G6" i="12" l="1"/>
  <c r="I15" i="13"/>
  <c r="J15" i="13"/>
  <c r="K15" i="13"/>
  <c r="I39" i="12"/>
  <c r="I20" i="12"/>
  <c r="I29" i="12" s="1"/>
  <c r="H29" i="12"/>
  <c r="G51" i="12"/>
  <c r="H40" i="12"/>
  <c r="I40" i="12" s="1"/>
  <c r="G10" i="12"/>
  <c r="G12" i="12" s="1"/>
  <c r="G13" i="12" s="1"/>
  <c r="G55" i="12"/>
  <c r="G56" i="12" s="1"/>
  <c r="G29" i="12"/>
  <c r="G33" i="12" s="1"/>
  <c r="G34" i="12" s="1"/>
  <c r="H42" i="12"/>
  <c r="H49" i="12"/>
  <c r="G43" i="12"/>
  <c r="H17" i="12"/>
  <c r="H4" i="12"/>
  <c r="G39" i="8"/>
  <c r="G52" i="12" l="1"/>
  <c r="H48" i="12"/>
  <c r="H24" i="12"/>
  <c r="H28" i="12"/>
  <c r="H33" i="12" s="1"/>
  <c r="I17" i="12"/>
  <c r="H43" i="12"/>
  <c r="H6" i="12"/>
  <c r="I4" i="12"/>
  <c r="H10" i="12"/>
  <c r="H12" i="12" s="1"/>
  <c r="I48" i="12"/>
  <c r="I51" i="12" s="1"/>
  <c r="H50" i="12"/>
  <c r="I42" i="12"/>
  <c r="I50" i="12" s="1"/>
  <c r="I43" i="12" l="1"/>
  <c r="I52" i="12" s="1"/>
  <c r="H13" i="12"/>
  <c r="I6" i="12"/>
  <c r="I10" i="12"/>
  <c r="I12" i="12" s="1"/>
  <c r="I13" i="12" s="1"/>
  <c r="I24" i="12"/>
  <c r="I28" i="12"/>
  <c r="I33" i="12" s="1"/>
  <c r="H34" i="12"/>
  <c r="H51" i="12"/>
  <c r="H52" i="12" s="1"/>
  <c r="V35" i="8"/>
  <c r="U35" i="8"/>
  <c r="Q35" i="8"/>
  <c r="P35" i="8"/>
  <c r="O34" i="8"/>
  <c r="T34" i="8" s="1"/>
  <c r="N34" i="8"/>
  <c r="S34" i="8" s="1"/>
  <c r="M34" i="8"/>
  <c r="R34" i="8" s="1"/>
  <c r="O33" i="8"/>
  <c r="T33" i="8" s="1"/>
  <c r="N33" i="8"/>
  <c r="S33" i="8" s="1"/>
  <c r="M33" i="8"/>
  <c r="R33" i="8" s="1"/>
  <c r="O32" i="8"/>
  <c r="T32" i="8" s="1"/>
  <c r="N32" i="8"/>
  <c r="S32" i="8" s="1"/>
  <c r="M32" i="8"/>
  <c r="R32" i="8" s="1"/>
  <c r="O31" i="8"/>
  <c r="T31" i="8" s="1"/>
  <c r="N31" i="8"/>
  <c r="S31" i="8" s="1"/>
  <c r="R31" i="8"/>
  <c r="O30" i="8"/>
  <c r="T30" i="8" s="1"/>
  <c r="N30" i="8"/>
  <c r="S30" i="8" s="1"/>
  <c r="M30" i="8"/>
  <c r="R30" i="8" s="1"/>
  <c r="O29" i="8"/>
  <c r="T29" i="8" s="1"/>
  <c r="N29" i="8"/>
  <c r="S29" i="8" s="1"/>
  <c r="M29" i="8"/>
  <c r="R29" i="8" s="1"/>
  <c r="O28" i="8"/>
  <c r="T28" i="8" s="1"/>
  <c r="S28" i="8"/>
  <c r="R28" i="8"/>
  <c r="O27" i="8"/>
  <c r="T27" i="8" s="1"/>
  <c r="N27" i="8"/>
  <c r="S27" i="8" s="1"/>
  <c r="M27" i="8"/>
  <c r="R27" i="8" s="1"/>
  <c r="O25" i="8"/>
  <c r="T25" i="8" s="1"/>
  <c r="N25" i="8"/>
  <c r="S25" i="8" s="1"/>
  <c r="M25" i="8"/>
  <c r="R25" i="8" s="1"/>
  <c r="O24" i="8"/>
  <c r="T24" i="8" s="1"/>
  <c r="N24" i="8"/>
  <c r="S24" i="8" s="1"/>
  <c r="R24" i="8"/>
  <c r="O20" i="8"/>
  <c r="T20" i="8" s="1"/>
  <c r="S20" i="8"/>
  <c r="R20" i="8"/>
  <c r="O19" i="8"/>
  <c r="T19" i="8" s="1"/>
  <c r="N19" i="8"/>
  <c r="S19" i="8" s="1"/>
  <c r="M19" i="8"/>
  <c r="R19" i="8" s="1"/>
  <c r="O18" i="8"/>
  <c r="T18" i="8" s="1"/>
  <c r="N18" i="8"/>
  <c r="S18" i="8" s="1"/>
  <c r="M18" i="8"/>
  <c r="R18" i="8" s="1"/>
  <c r="O17" i="8"/>
  <c r="T17" i="8" s="1"/>
  <c r="N17" i="8"/>
  <c r="S17" i="8" s="1"/>
  <c r="M17" i="8"/>
  <c r="R17" i="8" s="1"/>
  <c r="O16" i="8"/>
  <c r="T16" i="8" s="1"/>
  <c r="N16" i="8"/>
  <c r="S16" i="8" s="1"/>
  <c r="M16" i="8"/>
  <c r="R16" i="8" s="1"/>
  <c r="O15" i="8"/>
  <c r="T15" i="8" s="1"/>
  <c r="N15" i="8"/>
  <c r="S15" i="8" s="1"/>
  <c r="M15" i="8"/>
  <c r="R15" i="8" s="1"/>
  <c r="O14" i="8"/>
  <c r="T14" i="8" s="1"/>
  <c r="N14" i="8"/>
  <c r="S14" i="8" s="1"/>
  <c r="M14" i="8"/>
  <c r="R14" i="8" s="1"/>
  <c r="O13" i="8"/>
  <c r="T13" i="8" s="1"/>
  <c r="N13" i="8"/>
  <c r="S13" i="8" s="1"/>
  <c r="M13" i="8"/>
  <c r="R13" i="8" s="1"/>
  <c r="O12" i="8"/>
  <c r="T12" i="8" s="1"/>
  <c r="N12" i="8"/>
  <c r="S12" i="8" s="1"/>
  <c r="M12" i="8"/>
  <c r="R12" i="8" s="1"/>
  <c r="O11" i="8"/>
  <c r="T11" i="8" s="1"/>
  <c r="N11" i="8"/>
  <c r="S11" i="8" s="1"/>
  <c r="M11" i="8"/>
  <c r="R11" i="8" s="1"/>
  <c r="O10" i="8"/>
  <c r="T10" i="8" s="1"/>
  <c r="N10" i="8"/>
  <c r="S10" i="8" s="1"/>
  <c r="M10" i="8"/>
  <c r="R10" i="8" s="1"/>
  <c r="O9" i="8"/>
  <c r="T9" i="8" s="1"/>
  <c r="N9" i="8"/>
  <c r="S9" i="8" s="1"/>
  <c r="R9" i="8"/>
  <c r="O7" i="8"/>
  <c r="T7" i="8" s="1"/>
  <c r="N7" i="8"/>
  <c r="S7" i="8" s="1"/>
  <c r="R7" i="8"/>
  <c r="O6" i="8"/>
  <c r="T6" i="8" s="1"/>
  <c r="N6" i="8"/>
  <c r="S6" i="8" s="1"/>
  <c r="R6" i="8"/>
  <c r="N5" i="8"/>
  <c r="S5" i="8" s="1"/>
  <c r="Q21" i="8"/>
  <c r="P21" i="8"/>
  <c r="P37" i="8" s="1"/>
  <c r="V21" i="8"/>
  <c r="U21" i="8"/>
  <c r="AF69" i="3"/>
  <c r="AF71" i="3" s="1"/>
  <c r="Q37" i="8" l="1"/>
  <c r="U37" i="8"/>
  <c r="V37" i="8"/>
  <c r="I34" i="12"/>
  <c r="M26" i="8"/>
  <c r="N8" i="8"/>
  <c r="S8" i="8" s="1"/>
  <c r="S21" i="8" s="1"/>
  <c r="O5" i="8"/>
  <c r="T5" i="8" s="1"/>
  <c r="O8" i="8"/>
  <c r="T8" i="8" s="1"/>
  <c r="R8" i="8"/>
  <c r="AB69" i="3"/>
  <c r="AB71" i="3" s="1"/>
  <c r="AC69" i="3"/>
  <c r="AC71" i="3" s="1"/>
  <c r="AD69" i="3"/>
  <c r="AD71" i="3" s="1"/>
  <c r="AE69" i="3"/>
  <c r="AE71" i="3" s="1"/>
  <c r="M35" i="8" l="1"/>
  <c r="R26" i="8"/>
  <c r="R35" i="8" s="1"/>
  <c r="O26" i="8"/>
  <c r="N26" i="8"/>
  <c r="N21" i="8"/>
  <c r="T21" i="8"/>
  <c r="O21" i="8"/>
  <c r="M21" i="8"/>
  <c r="R21" i="8"/>
  <c r="R40" i="8" s="1"/>
  <c r="T78" i="3"/>
  <c r="Z63" i="3"/>
  <c r="P63" i="3"/>
  <c r="N63" i="3"/>
  <c r="L63" i="3"/>
  <c r="J63" i="3"/>
  <c r="H63" i="3"/>
  <c r="F63" i="3"/>
  <c r="D63" i="3"/>
  <c r="B63" i="3"/>
  <c r="V61" i="3"/>
  <c r="AA61" i="3" s="1"/>
  <c r="T61" i="3"/>
  <c r="S61" i="3"/>
  <c r="V58" i="3"/>
  <c r="AA58" i="3" s="1"/>
  <c r="T58" i="3"/>
  <c r="S58" i="3"/>
  <c r="Y55" i="3"/>
  <c r="V55" i="3"/>
  <c r="AA55" i="3" s="1"/>
  <c r="T55" i="3"/>
  <c r="S55" i="3"/>
  <c r="Y54" i="3"/>
  <c r="V54" i="3"/>
  <c r="AA54" i="3" s="1"/>
  <c r="T54" i="3"/>
  <c r="S54" i="3"/>
  <c r="Z48" i="3"/>
  <c r="Y46" i="3"/>
  <c r="AA46" i="3"/>
  <c r="S46" i="3"/>
  <c r="AA45" i="3"/>
  <c r="AA44" i="3"/>
  <c r="Y43" i="3"/>
  <c r="AA43" i="3"/>
  <c r="S43" i="3"/>
  <c r="Y42" i="3"/>
  <c r="AA42" i="3"/>
  <c r="S42" i="3"/>
  <c r="Y41" i="3"/>
  <c r="AA41" i="3"/>
  <c r="S41" i="3"/>
  <c r="Y40" i="3"/>
  <c r="AA40" i="3"/>
  <c r="S40" i="3"/>
  <c r="Y39" i="3"/>
  <c r="AA39" i="3"/>
  <c r="S39" i="3"/>
  <c r="Y38" i="3"/>
  <c r="AA38" i="3"/>
  <c r="S38" i="3"/>
  <c r="Y37" i="3"/>
  <c r="AA37" i="3"/>
  <c r="S37" i="3"/>
  <c r="AA36" i="3"/>
  <c r="AA35" i="3"/>
  <c r="Y34" i="3"/>
  <c r="AA34" i="3"/>
  <c r="S34" i="3"/>
  <c r="P34" i="3"/>
  <c r="P48" i="3" s="1"/>
  <c r="P50" i="3" s="1"/>
  <c r="N34" i="3"/>
  <c r="N48" i="3" s="1"/>
  <c r="N50" i="3" s="1"/>
  <c r="L34" i="3"/>
  <c r="L48" i="3" s="1"/>
  <c r="L50" i="3" s="1"/>
  <c r="J34" i="3"/>
  <c r="J48" i="3" s="1"/>
  <c r="J50" i="3" s="1"/>
  <c r="H34" i="3"/>
  <c r="H48" i="3" s="1"/>
  <c r="H50" i="3" s="1"/>
  <c r="F34" i="3"/>
  <c r="F48" i="3" s="1"/>
  <c r="F50" i="3" s="1"/>
  <c r="D34" i="3"/>
  <c r="D48" i="3" s="1"/>
  <c r="B34" i="3"/>
  <c r="B48" i="3" s="1"/>
  <c r="B50" i="3" s="1"/>
  <c r="Y33" i="3"/>
  <c r="AA33" i="3"/>
  <c r="S33" i="3"/>
  <c r="Y32" i="3"/>
  <c r="AA32" i="3"/>
  <c r="S32" i="3"/>
  <c r="Y31" i="3"/>
  <c r="S31" i="3"/>
  <c r="Z28" i="3"/>
  <c r="P28" i="3"/>
  <c r="N28" i="3"/>
  <c r="L28" i="3"/>
  <c r="J28" i="3"/>
  <c r="J65" i="3" s="1"/>
  <c r="H28" i="3"/>
  <c r="F28" i="3"/>
  <c r="D28" i="3"/>
  <c r="B28" i="3"/>
  <c r="Y26" i="3"/>
  <c r="V26" i="3"/>
  <c r="AA26" i="3" s="1"/>
  <c r="T26" i="3"/>
  <c r="S26" i="3"/>
  <c r="Y25" i="3"/>
  <c r="V25" i="3"/>
  <c r="AA25" i="3" s="1"/>
  <c r="T25" i="3"/>
  <c r="S25" i="3"/>
  <c r="Y24" i="3"/>
  <c r="AA24" i="3"/>
  <c r="S24" i="3"/>
  <c r="Y23" i="3"/>
  <c r="AA23" i="3"/>
  <c r="S23" i="3"/>
  <c r="Y22" i="3"/>
  <c r="AA22" i="3"/>
  <c r="S22" i="3"/>
  <c r="Y21" i="3"/>
  <c r="AA21" i="3"/>
  <c r="S21" i="3"/>
  <c r="Y20" i="3"/>
  <c r="AA20" i="3"/>
  <c r="S20" i="3"/>
  <c r="Y19" i="3"/>
  <c r="AA19" i="3"/>
  <c r="S19" i="3"/>
  <c r="S18" i="3"/>
  <c r="Y15" i="3"/>
  <c r="AA15" i="3"/>
  <c r="S15" i="3"/>
  <c r="Y14" i="3"/>
  <c r="AA14" i="3"/>
  <c r="S14" i="3"/>
  <c r="Y13" i="3"/>
  <c r="AA13" i="3"/>
  <c r="S13" i="3"/>
  <c r="Y12" i="3"/>
  <c r="AA12" i="3"/>
  <c r="S12" i="3"/>
  <c r="Y11" i="3"/>
  <c r="AA11" i="3"/>
  <c r="S11" i="3"/>
  <c r="Y10" i="3"/>
  <c r="S10" i="3"/>
  <c r="Y5" i="3"/>
  <c r="P5" i="3"/>
  <c r="N5" i="3"/>
  <c r="L5" i="3"/>
  <c r="J5" i="3"/>
  <c r="H5" i="3"/>
  <c r="F5" i="3"/>
  <c r="D5" i="3"/>
  <c r="B5" i="3"/>
  <c r="B2" i="3"/>
  <c r="B1" i="3"/>
  <c r="M37" i="8" l="1"/>
  <c r="R37" i="8"/>
  <c r="N35" i="8"/>
  <c r="N37" i="8" s="1"/>
  <c r="S26" i="8"/>
  <c r="S35" i="8" s="1"/>
  <c r="S37" i="8" s="1"/>
  <c r="O35" i="8"/>
  <c r="O37" i="8" s="1"/>
  <c r="T26" i="8"/>
  <c r="T35" i="8" s="1"/>
  <c r="T37" i="8" s="1"/>
  <c r="Y30" i="3"/>
  <c r="Y48" i="3" s="1"/>
  <c r="V9" i="3"/>
  <c r="F65" i="3"/>
  <c r="H65" i="3"/>
  <c r="Y63" i="3"/>
  <c r="Y17" i="3"/>
  <c r="Z50" i="3"/>
  <c r="Z65" i="3" s="1"/>
  <c r="T9" i="3"/>
  <c r="D50" i="3"/>
  <c r="D65" i="3"/>
  <c r="AA63" i="3"/>
  <c r="P65" i="3"/>
  <c r="Y9" i="3"/>
  <c r="AA10" i="3"/>
  <c r="T17" i="3"/>
  <c r="V17" i="3"/>
  <c r="T30" i="3"/>
  <c r="T48" i="3" s="1"/>
  <c r="AA18" i="3"/>
  <c r="V30" i="3"/>
  <c r="V48" i="3" s="1"/>
  <c r="Z52" i="3" s="1"/>
  <c r="T63" i="3"/>
  <c r="L65" i="3"/>
  <c r="N65" i="3"/>
  <c r="B65" i="3"/>
  <c r="AA31" i="3"/>
  <c r="AA48" i="3" s="1"/>
  <c r="V63" i="3"/>
  <c r="V28" i="3" l="1"/>
  <c r="V50" i="3" s="1"/>
  <c r="V65" i="3" s="1"/>
  <c r="V67" i="3" s="1"/>
  <c r="Y28" i="3"/>
  <c r="Y50" i="3" s="1"/>
  <c r="Y65" i="3" s="1"/>
  <c r="AA28" i="3"/>
  <c r="AA50" i="3" s="1"/>
  <c r="AA65" i="3" s="1"/>
  <c r="T28" i="3"/>
  <c r="T50" i="3" s="1"/>
  <c r="T65" i="3" s="1"/>
  <c r="T67" i="3" s="1"/>
  <c r="C35" i="8" l="1"/>
  <c r="C21" i="8"/>
  <c r="C37" i="8" l="1"/>
  <c r="A41" i="6"/>
  <c r="L3" i="6"/>
  <c r="K3" i="6"/>
  <c r="J3" i="6"/>
  <c r="I3" i="6"/>
  <c r="H3" i="6"/>
  <c r="G3" i="6"/>
  <c r="F3" i="6"/>
  <c r="E3" i="6"/>
  <c r="D3" i="6"/>
  <c r="C3" i="6"/>
  <c r="J2" i="6"/>
  <c r="F2" i="6"/>
  <c r="E2" i="6"/>
  <c r="D2" i="6"/>
  <c r="C2" i="6"/>
  <c r="B2" i="6"/>
  <c r="A2" i="6"/>
  <c r="A1" i="6"/>
  <c r="A55" i="5"/>
  <c r="B2" i="5"/>
  <c r="A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tc={E257E48C-9FBE-42F8-A86D-652446893779}</author>
  </authors>
  <commentList>
    <comment ref="B17" authorId="0" shapeId="0" xr:uid="{E257E48C-9FBE-42F8-A86D-6524468937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Included under other - Service Charges</t>
        </r>
      </text>
    </comment>
  </commentList>
</comments>
</file>

<file path=xl/sharedStrings.xml><?xml version="1.0" encoding="utf-8"?>
<sst xmlns="http://schemas.openxmlformats.org/spreadsheetml/2006/main" count="1176" uniqueCount="717">
  <si>
    <t>REVENUE</t>
  </si>
  <si>
    <t>Other Revenue</t>
  </si>
  <si>
    <t>EXPENDITURE</t>
  </si>
  <si>
    <t>Transfers and Grants</t>
  </si>
  <si>
    <t>Other expenditure</t>
  </si>
  <si>
    <t>R thousand</t>
  </si>
  <si>
    <t>Revenue By Source</t>
  </si>
  <si>
    <t>Property rates</t>
  </si>
  <si>
    <t>Service charges - electricity revenue</t>
  </si>
  <si>
    <t>Service charges - water revenue</t>
  </si>
  <si>
    <t>Service charges - sanitation revenue</t>
  </si>
  <si>
    <t>Service charges - refuse revenue</t>
  </si>
  <si>
    <t>Service charges - other</t>
  </si>
  <si>
    <t>Rental of facilities and equipment</t>
  </si>
  <si>
    <t>Interest earned - external investments</t>
  </si>
  <si>
    <t>Interest earned - outstanding debtors</t>
  </si>
  <si>
    <t>Dividends received</t>
  </si>
  <si>
    <t>Fines, penalties and forfeits</t>
  </si>
  <si>
    <t>Licences and permits</t>
  </si>
  <si>
    <t>Agency services</t>
  </si>
  <si>
    <t>Transfers and subsidies</t>
  </si>
  <si>
    <t>Other revenue</t>
  </si>
  <si>
    <t>Gains</t>
  </si>
  <si>
    <t>Total Revenue (excluding capital transfers and contributions)</t>
  </si>
  <si>
    <t>Expenditure By Type</t>
  </si>
  <si>
    <t>Employee related costs</t>
  </si>
  <si>
    <t>Remuneration of councillors</t>
  </si>
  <si>
    <t>Debt impairment</t>
  </si>
  <si>
    <t>Depreciation &amp; asset impairment</t>
  </si>
  <si>
    <t>Finance charges</t>
  </si>
  <si>
    <t>Bulk purchases</t>
  </si>
  <si>
    <t>Other materials</t>
  </si>
  <si>
    <t>Contracted services</t>
  </si>
  <si>
    <t>4, 5</t>
  </si>
  <si>
    <t>Losses</t>
  </si>
  <si>
    <t>Total Expenditure</t>
  </si>
  <si>
    <t>Surplus/(Deficit)</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</si>
  <si>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</si>
  <si>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</si>
  <si>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Total Revenue</t>
  </si>
  <si>
    <t>Choose name from list - Table A4 Budgeted Financial Performance (revenue and expenditure)</t>
  </si>
  <si>
    <t>Description</t>
  </si>
  <si>
    <t>Ref</t>
  </si>
  <si>
    <t>2017/18</t>
  </si>
  <si>
    <t>2018/19</t>
  </si>
  <si>
    <t>2019/20</t>
  </si>
  <si>
    <t>LTFS</t>
  </si>
  <si>
    <t>Audited Outcome</t>
  </si>
  <si>
    <t>Original Budget</t>
  </si>
  <si>
    <t>Adjusted Budget</t>
  </si>
  <si>
    <t>Forecast 2024/25</t>
  </si>
  <si>
    <t>Forecast 2025/26</t>
  </si>
  <si>
    <t>Bulk Purchases</t>
  </si>
  <si>
    <t>R</t>
  </si>
  <si>
    <t>Revenue from Non-exchange Transactions</t>
  </si>
  <si>
    <t>Revenue from Exchange Transactions</t>
  </si>
  <si>
    <t>SERVICE CHARGES</t>
  </si>
  <si>
    <t>Sewerage and Sanitation Charges</t>
  </si>
  <si>
    <t>CASH FLOW FROM OPERATING ACTIVITIES</t>
  </si>
  <si>
    <t>Receipts</t>
  </si>
  <si>
    <t>Service charges</t>
  </si>
  <si>
    <t>Transfers and Subsidies - Operational</t>
  </si>
  <si>
    <t>Transfers and Subsidies - Capital</t>
  </si>
  <si>
    <t>Interest</t>
  </si>
  <si>
    <t>Dividends</t>
  </si>
  <si>
    <t>Payments</t>
  </si>
  <si>
    <t>Suppliers and employees</t>
  </si>
  <si>
    <t>NET CASH FROM/(USED) OPERATING ACTIVITIES</t>
  </si>
  <si>
    <t>CASH FLOWS FROM INVESTING ACTIVITIES</t>
  </si>
  <si>
    <t>Proceeds on disposal of PPE</t>
  </si>
  <si>
    <t>Decrease (increase) in non-current receivables</t>
  </si>
  <si>
    <t>Decrease (increase) in non-current investments</t>
  </si>
  <si>
    <t>Capital assets</t>
  </si>
  <si>
    <t>NET CASH FROM/(USED) INVESTING ACTIVITIES</t>
  </si>
  <si>
    <t>CASH FLOWS FROM FINANCING ACTIVITIES</t>
  </si>
  <si>
    <t>Short term loans</t>
  </si>
  <si>
    <t>Borrowing long term/refinancing</t>
  </si>
  <si>
    <t>Increase (decrease) in consumer deposits</t>
  </si>
  <si>
    <t>Repayment of borrowing</t>
  </si>
  <si>
    <t>NET CASH FROM/(USED) FINANCING ACTIVITIES</t>
  </si>
  <si>
    <t>NET INCREASE/ (DECREASE) IN CASH HELD</t>
  </si>
  <si>
    <t>Cash/cash equivalents at the year begin:</t>
  </si>
  <si>
    <t>Cash/cash equivalents at the year end:</t>
  </si>
  <si>
    <t>2020/21</t>
  </si>
  <si>
    <t>Budget</t>
  </si>
  <si>
    <t>2022/23</t>
  </si>
  <si>
    <t>2023/24</t>
  </si>
  <si>
    <t xml:space="preserve"> </t>
  </si>
  <si>
    <t>Sale of Electricity</t>
  </si>
  <si>
    <t>Sale of Water</t>
  </si>
  <si>
    <t>Refuse Removal</t>
  </si>
  <si>
    <t>MONTHLY CASH FLOWS</t>
  </si>
  <si>
    <t>Medium Term Revenue and Expenditure Framework</t>
  </si>
  <si>
    <t>July</t>
  </si>
  <si>
    <t>August</t>
  </si>
  <si>
    <t>Sept.</t>
  </si>
  <si>
    <t>October</t>
  </si>
  <si>
    <t>November</t>
  </si>
  <si>
    <t>December</t>
  </si>
  <si>
    <t>January</t>
  </si>
  <si>
    <t>February</t>
  </si>
  <si>
    <t>March</t>
  </si>
  <si>
    <t>April</t>
  </si>
  <si>
    <t>May</t>
  </si>
  <si>
    <t>June</t>
  </si>
  <si>
    <t>Cash Receipts By Source</t>
  </si>
  <si>
    <t>Cash Receipts by Source</t>
  </si>
  <si>
    <t>Other Cash Flows by Source</t>
  </si>
  <si>
    <t>Proceeds on Disposal of Fixed and Intangible Assets</t>
  </si>
  <si>
    <t>Total Cash Receipts by Source</t>
  </si>
  <si>
    <t>Cash Payments by Type</t>
  </si>
  <si>
    <t>Bulk purchases - Electricity</t>
  </si>
  <si>
    <t>Bulk purchases - Water &amp; Sewer</t>
  </si>
  <si>
    <t>Transfers and grants - other municipalities</t>
  </si>
  <si>
    <t>Transfers and grants - other</t>
  </si>
  <si>
    <t>Other Cash Flows/Payments by Type</t>
  </si>
  <si>
    <t>Total Cash Payments by Type</t>
  </si>
  <si>
    <t>NET INCREASE/(DECREASE) IN CASH HELD</t>
  </si>
  <si>
    <t>Cash/cash equivalents at the month/year begin:</t>
  </si>
  <si>
    <t>Cash/cash equivalents at the month/year end:</t>
  </si>
  <si>
    <t>1. Note that this section of Table SA 30 is deliberately not linked to Table A4 because timing differences between the invoicing of clients and receiving the cash means that the cashflow will differ from budgeted revenue, and similarly for budgeted expenditure. However for the MTREF it is now directly linked to A7.</t>
  </si>
  <si>
    <t>Other Cash Flows/Payments</t>
  </si>
  <si>
    <t>Budget Year 2022/23</t>
  </si>
  <si>
    <t>Budget Year +1 2023/24</t>
  </si>
  <si>
    <t>Budget Year +2 2024/25</t>
  </si>
  <si>
    <t>1. Local/District municipalities to include transfers from/to District/Local Municipalities</t>
  </si>
  <si>
    <t>2. Cash equivalents includes investments with maturities of 3 months or less</t>
  </si>
  <si>
    <t>3. The MTREF is populated directly from SA30.</t>
  </si>
  <si>
    <t>IMPLEMENTATION PLAN TOWARDS A FUNDED BUDGET</t>
  </si>
  <si>
    <t xml:space="preserve">Main Pillars </t>
  </si>
  <si>
    <t>Key priority areas</t>
  </si>
  <si>
    <t>Milestone/Output</t>
  </si>
  <si>
    <t>Responsible</t>
  </si>
  <si>
    <t>Target</t>
  </si>
  <si>
    <t>Did the municipality meet the target?</t>
  </si>
  <si>
    <t>SHORT TERM TARGETS &amp; GENERAL PROGRESS</t>
  </si>
  <si>
    <t xml:space="preserve">Positive cash flows from revenue from trading services </t>
  </si>
  <si>
    <t>Revenue Management</t>
  </si>
  <si>
    <t>Improve the monthly Debt Collection Rate</t>
  </si>
  <si>
    <t xml:space="preserve">Revenue Manager/ CFO </t>
  </si>
  <si>
    <t>Yes/No</t>
  </si>
  <si>
    <t>• Continuous strengthening &amp; Improvement in credit control actions + monitoring of progress</t>
  </si>
  <si>
    <t xml:space="preserve">• Avoid prescription debt &amp; meet requirements of an official demand for payment </t>
  </si>
  <si>
    <t>Improve Accuracy of Monthly Billing</t>
  </si>
  <si>
    <t>Revenue Manager/ CFO / Technical Director / Manager Technical Services</t>
  </si>
  <si>
    <t>Positive cash flows - Revenue from other Sources</t>
  </si>
  <si>
    <t>Improved Contract Management</t>
  </si>
  <si>
    <t>Legal / CFO / Manager Revenue / Asset Accountant</t>
  </si>
  <si>
    <t>• Ensure all lease contracts are in place &amp; up to date
• market related rent where applicable. 
• Apply credit control 
• Improve rental of municipal assets management (Community halls etc)</t>
  </si>
  <si>
    <t xml:space="preserve">Traffic Department </t>
  </si>
  <si>
    <t>Head: Traffic Services / CFO / Manager Community Services</t>
  </si>
  <si>
    <t>• Appoint vendor speed fine administration
• spot fines to improve collection rate
• Increase section 56 fines</t>
  </si>
  <si>
    <t>• Improved productivity &amp; Performance
• Incorporate best practice practises
• Speed fines implemented and prioritised</t>
  </si>
  <si>
    <t>• Improved productivity &amp; Performance
• Incorporate best practice practises</t>
  </si>
  <si>
    <t>• Improve vehicle testing experience &amp; improve service
• Additional revenue potential R100k
• Not to be subsidised - break-even</t>
  </si>
  <si>
    <t xml:space="preserve">• Transport Cpy's use local
• Issuing of drivers licenses 
•Additional revenue R250k
• Become profitable
</t>
  </si>
  <si>
    <t xml:space="preserve">• Appoint a Head of Traffic Services
• Increase staff discipline &amp; productivity + clear targets
• Laisse with transport &amp; earthmoving cpy's
• Analyse current performance
</t>
  </si>
  <si>
    <t>• Build K53 test course
• Improve customer relations
• Monitor progress</t>
  </si>
  <si>
    <t>2. Implementation of cost containment measures and a reduction of expenditure</t>
  </si>
  <si>
    <t>Human Resource</t>
  </si>
  <si>
    <t xml:space="preserve">Review and strengthen the implementation of HR policies. </t>
  </si>
  <si>
    <t>HR Manager  / Manager Technical Services / Director Technical Services /CFO</t>
  </si>
  <si>
    <t>Contract Management</t>
  </si>
  <si>
    <t xml:space="preserve">Appointment &amp; Monitoring of the contract function. </t>
  </si>
  <si>
    <t>Legal / SCM / CFO / Director Technical Services</t>
  </si>
  <si>
    <t>• Manage cost of consultants &amp; legal expenses.  
• All outsourced contract costs justifiable
• Build internal capacity &amp; reduce dependence
• R100k reduction</t>
  </si>
  <si>
    <t xml:space="preserve">• Ensure completeness of contracts in place
• Performance measures in place - improved performance
• Y/E reduction of R2 mil </t>
  </si>
  <si>
    <t>• Monitoring of consultant performance on a regular base
• ensure capacity building
• In-house activities instead of using consultants to do the job of officials
• Manage risk and corresponding legal costs</t>
  </si>
  <si>
    <t>4. Creditors payment rates that ensure that all fixed obligations, including obligations for bulk purchases, are met</t>
  </si>
  <si>
    <t>Liability Management</t>
  </si>
  <si>
    <t>Compliance to section 65 of the MFMA</t>
  </si>
  <si>
    <t xml:space="preserve">BTO / CFO </t>
  </si>
  <si>
    <t xml:space="preserve">• Pay all current creditors on 30 days
• Affordable Eskom payment arrangement
• Reduction of Finance charges
</t>
  </si>
  <si>
    <t>• Pay Current creditors and reduce old outstanding debt
• R800k saving in finance charges (F&amp;W)</t>
  </si>
  <si>
    <t>5. Ring fencing of conditional grants and ensuring that conditional grant funding is cash backed</t>
  </si>
  <si>
    <t>BTO / CFO / PMU / Technical Director</t>
  </si>
  <si>
    <t xml:space="preserve">• Spending of conditional grants
• Improved grant and retention management practices
• No grants to revert back to PT /NT
</t>
  </si>
  <si>
    <t>• Ensure mSCOA compliance and transactional accuracy on SAMRAS</t>
  </si>
  <si>
    <t>• An accurate grant and retention registers in place. 
• Account cash &amp; accrual basis to accommodate dept reporting. Trace old grant owners and request recognition of revenue 
• Administration responsibilities of PMU allocated</t>
  </si>
  <si>
    <t>• Ensure mSCOA compliance and transactional accuracy on SAMRAS
• Get assistance if necessary - prioritised reporting accuracy - seamless transacting no Jnl's</t>
  </si>
  <si>
    <t>6. Other measures</t>
  </si>
  <si>
    <t>Losses Management</t>
  </si>
  <si>
    <t>Reduce water distribution losses</t>
  </si>
  <si>
    <t>CFO / Technical Director / Manager Technical Services</t>
  </si>
  <si>
    <t>• Reduce theft through exception reporting and monitoring of use. 
• Technical losses managed by isolating areas of high losses and fix
• Pre-Paid meters indigent households</t>
  </si>
  <si>
    <t>• Meter verification &amp; TID process
• Expansion of Pre-paid water metering system
• Calibration of bulk meters</t>
  </si>
  <si>
    <t>Reduce Electricity  distribution losses</t>
  </si>
  <si>
    <t>Asset Management</t>
  </si>
  <si>
    <t>Improved fleet management</t>
  </si>
  <si>
    <t>• Improved monitoring
• Manage condition and care of municipal fleet
• accurate logbooks and records of use</t>
  </si>
  <si>
    <t>Ensure assets reach expected economic life &amp; only maintain economic assets</t>
  </si>
  <si>
    <t>CFO / Technical Director / SCM Manager</t>
  </si>
  <si>
    <t>• Improve use of municipal assets
• Evaluate economical use of municipal assets
• reduce cost R&amp;M especially on municipal houses</t>
  </si>
  <si>
    <t xml:space="preserve">• Cost reduction on maintenance and revenue disposal of assets R2 million
</t>
  </si>
  <si>
    <t>• Implement R&amp;M Policy  / Strategy
• Improved reporting on asset management &amp; use
• Dispose of all uneconomical assets
• review municipal houses and economical viability to maintain</t>
  </si>
  <si>
    <t>Actual</t>
  </si>
  <si>
    <t xml:space="preserve">Manual Amounts as Per B Schedule (Override TB) </t>
  </si>
  <si>
    <t>2019 Audited</t>
  </si>
  <si>
    <t>Variance</t>
  </si>
  <si>
    <t>Note</t>
  </si>
  <si>
    <t>Restated</t>
  </si>
  <si>
    <t xml:space="preserve"> Property Rates      </t>
  </si>
  <si>
    <t xml:space="preserve"> Fines, Penalties and Forfeits      </t>
  </si>
  <si>
    <t xml:space="preserve"> Licences and Permits      </t>
  </si>
  <si>
    <t xml:space="preserve"> Transfers and Subsidies      </t>
  </si>
  <si>
    <t xml:space="preserve"> Surcharges and Taxes      </t>
  </si>
  <si>
    <t xml:space="preserve"> Interest, Dividends and Rent on Land Earned      </t>
  </si>
  <si>
    <t xml:space="preserve"> Service Charges      </t>
  </si>
  <si>
    <t xml:space="preserve"> Sales of Goods and Rendering of Services      </t>
  </si>
  <si>
    <t xml:space="preserve"> Income from Agency Services      </t>
  </si>
  <si>
    <t xml:space="preserve"> Rental from Fixed Assets      </t>
  </si>
  <si>
    <t xml:space="preserve"> Operational Revenue      </t>
  </si>
  <si>
    <t xml:space="preserve"> Intercompany/Parent-subsidiary Transactions      </t>
  </si>
  <si>
    <t xml:space="preserve"> Gains on Disposal of Property, Plant and Equipment      </t>
  </si>
  <si>
    <t xml:space="preserve"> Employee Related Costs      </t>
  </si>
  <si>
    <t xml:space="preserve"> Remuneration of Councillors      </t>
  </si>
  <si>
    <t xml:space="preserve"> Depreciation and Amortisation      </t>
  </si>
  <si>
    <t xml:space="preserve"> Impairment Losses      </t>
  </si>
  <si>
    <t>Budget - Impairment Losses</t>
  </si>
  <si>
    <t>Budget - Bad Debt Written Off</t>
  </si>
  <si>
    <t xml:space="preserve"> Interest, Dividends and Rent on Land      </t>
  </si>
  <si>
    <t xml:space="preserve"> Bulk Purchases      </t>
  </si>
  <si>
    <t xml:space="preserve"> Contracted Services      </t>
  </si>
  <si>
    <t xml:space="preserve"> Inventory Consumed      </t>
  </si>
  <si>
    <t xml:space="preserve"> Transfers and Subsidies Paid      </t>
  </si>
  <si>
    <t xml:space="preserve"> Operating Leases      </t>
  </si>
  <si>
    <t xml:space="preserve"> Operational Costs      </t>
  </si>
  <si>
    <t>Income Taxes</t>
  </si>
  <si>
    <t>Statutory Payments other than Taxes</t>
  </si>
  <si>
    <t xml:space="preserve"> Loss on Disposal of Property, Plant and Equipment  </t>
  </si>
  <si>
    <t>OPERATING SURPLUS / (DEFICIT) FOR THE YEAR</t>
  </si>
  <si>
    <t>OTHER REVENUE / EXPENDITURE INCURRED</t>
  </si>
  <si>
    <t>Other Operations:</t>
  </si>
  <si>
    <t xml:space="preserve"> Gains on Other Operations      </t>
  </si>
  <si>
    <t xml:space="preserve"> Losses on Other Operations  </t>
  </si>
  <si>
    <t>Discontinued Operations:</t>
  </si>
  <si>
    <t>Surplus / (Deficit) from Discontinued Operations</t>
  </si>
  <si>
    <t>Associated Operations:</t>
  </si>
  <si>
    <t>Share of Surplus / (Deficit) of Associate accounted for under the Equity Method</t>
  </si>
  <si>
    <t>TOTAL OTHER REVENUE / EXPENDITURE INCURRED</t>
  </si>
  <si>
    <t>SURPLUS / (DEFICIT) FOR THE YEAR</t>
  </si>
  <si>
    <t>Actual operational loss</t>
  </si>
  <si>
    <t>2021/20</t>
  </si>
  <si>
    <t>2020/19</t>
  </si>
  <si>
    <t>2019/18</t>
  </si>
  <si>
    <t>2016/17</t>
  </si>
  <si>
    <t>5 Year Operational Performance (Deficit) / Profit</t>
  </si>
  <si>
    <t xml:space="preserve">  Performance roughly adjusted considering working capital movement (cash, debtors, creditors, unspent, taxes)</t>
  </si>
  <si>
    <t>2015/16</t>
  </si>
  <si>
    <t>Working captial Movement</t>
  </si>
  <si>
    <t>BILLING</t>
  </si>
  <si>
    <t>2024/25</t>
  </si>
  <si>
    <t>Billing</t>
  </si>
  <si>
    <t>Business and Commercial Properties</t>
  </si>
  <si>
    <t>Industrial Properties</t>
  </si>
  <si>
    <t>Residential Properties</t>
  </si>
  <si>
    <t>Agricultural Properties</t>
  </si>
  <si>
    <t>Public Benefit Organisations</t>
  </si>
  <si>
    <t>Public Service Purposes Properties</t>
  </si>
  <si>
    <t>Public Service Infrastructure Properties</t>
  </si>
  <si>
    <t>Vacant Land</t>
  </si>
  <si>
    <t>COLLECTIONS</t>
  </si>
  <si>
    <t>PROPERTY RATES</t>
  </si>
  <si>
    <t>Funding Plan '2022/23</t>
  </si>
  <si>
    <t>REVISED MTREF BUDGET</t>
  </si>
  <si>
    <t>ITEM A4</t>
  </si>
  <si>
    <t>ACTIVITY DESCRIPTION</t>
  </si>
  <si>
    <t>Increase to 70% and 72% and 80%</t>
  </si>
  <si>
    <t>Revenue</t>
  </si>
  <si>
    <t>Expenditure</t>
  </si>
  <si>
    <t>REBATES</t>
  </si>
  <si>
    <t>Rebates</t>
  </si>
  <si>
    <t>ELECTRICITY BILLING / REVENUE</t>
  </si>
  <si>
    <t>COSTCODE</t>
  </si>
  <si>
    <t>UKEY</t>
  </si>
  <si>
    <t>DEPT_KEY</t>
  </si>
  <si>
    <t>V202_ITEMDE</t>
  </si>
  <si>
    <t>ITEM GUID</t>
  </si>
  <si>
    <t>Original Bud</t>
  </si>
  <si>
    <t>Adj Budget</t>
  </si>
  <si>
    <t>Actuals Total</t>
  </si>
  <si>
    <t>Connection/Reconnection:Change Circuit Breaker</t>
  </si>
  <si>
    <t>ca79d014-a3bf-4869-9937-99f5b4841fa4</t>
  </si>
  <si>
    <t>Elec Control</t>
  </si>
  <si>
    <t>Connection/Reconnection:Disconnection/Reconnection</t>
  </si>
  <si>
    <t>c7cf7ca3-97e8-4c72-a34b-c3e5c77275bc</t>
  </si>
  <si>
    <t>Electricity Sales:Commercial Conventional (Single</t>
  </si>
  <si>
    <t>864a0647-13fb-4dd6-be51-6c14b0811198</t>
  </si>
  <si>
    <t>Electricity Sales:Industrial (400 Volts) (Low Volt</t>
  </si>
  <si>
    <t>e7b2cf47-ac8d-4a72-8bc2-79c7920e8253</t>
  </si>
  <si>
    <t>Electricity Sales:Commercial Conventional (3-Phase</t>
  </si>
  <si>
    <t>f2f7d547-9e2d-438f-80ca-770a59bcbcac</t>
  </si>
  <si>
    <t>Conventional</t>
  </si>
  <si>
    <t>Domestic Low:Conventional</t>
  </si>
  <si>
    <t>803263a2-532a-4b57-a51b-130da229d4b8</t>
  </si>
  <si>
    <t>Domestic Low:Domestic Indigent</t>
  </si>
  <si>
    <t>688267d4-ead3-400c-9dd8-aae5fc02154d</t>
  </si>
  <si>
    <t xml:space="preserve">Cash </t>
  </si>
  <si>
    <t>Domestic Low:Prepaid</t>
  </si>
  <si>
    <t>982be2c3-93b5-48a1-bd78-56c6bc138f61</t>
  </si>
  <si>
    <t>Domestic High:Conventional</t>
  </si>
  <si>
    <t>753a9394-1907-4fb9-9ee2-7ff8a2a57dd5</t>
  </si>
  <si>
    <t>Electricity Sales:Time of Use Tariffs</t>
  </si>
  <si>
    <t>9a4d6cb3-9af0-4c71-ae23-6231fa5cbf22</t>
  </si>
  <si>
    <t>Availability Charges</t>
  </si>
  <si>
    <t>Electricity:Availability Charges</t>
  </si>
  <si>
    <t>340a4ddf-0290-4d8e-a14b-2a4da82247eb</t>
  </si>
  <si>
    <t>BULK PURCHASES - ELECTRICITY</t>
  </si>
  <si>
    <t>Purchases</t>
  </si>
  <si>
    <t>GROSS PROFIT ELECTRICITY</t>
  </si>
  <si>
    <t>Gross Profit</t>
  </si>
  <si>
    <t>ELECTRICITY COLLECTIONS</t>
  </si>
  <si>
    <t>IMPAIRMENT - GAINS / LOSSES</t>
  </si>
  <si>
    <t>Gains and Losses:Impairment Loss:Trade and Other Receivables from Exchange Transactions:Electricity</t>
  </si>
  <si>
    <t>Gains and Losses:Impairment Loss:Trade and Other Receivables from Exchange Transactions:Waste Management</t>
  </si>
  <si>
    <t>Gains and Losses:Impairment Loss:Trade and Other Receivables from Exchange Transactions:Waste Water Management</t>
  </si>
  <si>
    <t>Gains and Losses:Impairment Loss:Trade and Other Receivables from Exchange Transactions:Water</t>
  </si>
  <si>
    <t>Gains and Losses:Impairment Loss:Trade and Other Receivables from Exchange Transactions:Non Specific Accounts</t>
  </si>
  <si>
    <t>Gains and Losses:Impairment Loss:Other Receivables from Non-exchange Revenue:Property Rates</t>
  </si>
  <si>
    <t>BILLING REFUSE</t>
  </si>
  <si>
    <t>Refuse Control</t>
  </si>
  <si>
    <t>Disposal Facilities</t>
  </si>
  <si>
    <t>Waste Management:Disposal Facilities</t>
  </si>
  <si>
    <t>Waste Management:Refuse Removal</t>
  </si>
  <si>
    <t>Free Basic Services</t>
  </si>
  <si>
    <t>COLLECTIONS REFUSE</t>
  </si>
  <si>
    <t>Sewerage Control</t>
  </si>
  <si>
    <t>BILLING SEWERAGE</t>
  </si>
  <si>
    <t>Sanitation Charges</t>
  </si>
  <si>
    <t>Waste Water Management:Sanitation Charges</t>
  </si>
  <si>
    <t>Waste Water Management:Availability Charges</t>
  </si>
  <si>
    <t>Availability</t>
  </si>
  <si>
    <t>Cash Item</t>
  </si>
  <si>
    <t>Connection/Reconnection</t>
  </si>
  <si>
    <t>Waste Water Management:Connection/Reconnection</t>
  </si>
  <si>
    <t>Connection</t>
  </si>
  <si>
    <t>Pump/Removal of Waste Water</t>
  </si>
  <si>
    <t>Waste Water Management:Pump/Removal of Waste Water</t>
  </si>
  <si>
    <t>Pump</t>
  </si>
  <si>
    <t>COLLECTIONS SEWERAGE</t>
  </si>
  <si>
    <t>WATER SERVICE CHARGES</t>
  </si>
  <si>
    <t>Connection/Disconnection</t>
  </si>
  <si>
    <t>Water:Connection/Disconnection</t>
  </si>
  <si>
    <t>Water Control</t>
  </si>
  <si>
    <t>Sale:Conventional</t>
  </si>
  <si>
    <t>Agricultural and Rural Water Service</t>
  </si>
  <si>
    <t>Water:Agricultural and Rural Water Service</t>
  </si>
  <si>
    <t>Water:Availability Charges</t>
  </si>
  <si>
    <t>COLLECTIONS WATER</t>
  </si>
  <si>
    <t>Rent collections R200k less than billing</t>
  </si>
  <si>
    <t>Impair from Interest Charges -Rates sheet</t>
  </si>
  <si>
    <t>%</t>
  </si>
  <si>
    <t>Property Rates - Residential</t>
  </si>
  <si>
    <t>Property Rates - Agricultural</t>
  </si>
  <si>
    <t>Electricity</t>
  </si>
  <si>
    <t>Solid Waste Removal</t>
  </si>
  <si>
    <t>Sewerage</t>
  </si>
  <si>
    <t>Water Distribution</t>
  </si>
  <si>
    <t>Property Services</t>
  </si>
  <si>
    <t>Standby Allowance</t>
  </si>
  <si>
    <t>FUNCTION</t>
  </si>
  <si>
    <t>R&amp;M Budget</t>
  </si>
  <si>
    <t>General Staff</t>
  </si>
  <si>
    <t>Library</t>
  </si>
  <si>
    <t>MIG</t>
  </si>
  <si>
    <t>FMG</t>
  </si>
  <si>
    <t>EPWP</t>
  </si>
  <si>
    <t>SNR</t>
  </si>
  <si>
    <t>BUDGET FUNDING PLAN</t>
  </si>
  <si>
    <t>Saving</t>
  </si>
  <si>
    <t xml:space="preserve">FUNCTION </t>
  </si>
  <si>
    <t>Project: R&amp;M</t>
  </si>
  <si>
    <t>Project:  Organisation</t>
  </si>
  <si>
    <t>Project: Library</t>
  </si>
  <si>
    <t>Project: FMG</t>
  </si>
  <si>
    <t>Project: EPWP</t>
  </si>
  <si>
    <t>Project: Snr Management</t>
  </si>
  <si>
    <t>Total Manager</t>
  </si>
  <si>
    <t>Function:Executive and Council:Core Function:Mayor and Council</t>
  </si>
  <si>
    <t>Employee Related Costs</t>
  </si>
  <si>
    <t>Function:Executive and Council:Core Function:Municipal Manager, Town Secretary and Chief Executive</t>
  </si>
  <si>
    <t>SDL &amp; WCA</t>
  </si>
  <si>
    <t>Function:Planning and Development:Core Function:Corporate Wide Strategic Planning (IDPs, LEDs)</t>
  </si>
  <si>
    <t>Councillor Remuneration</t>
  </si>
  <si>
    <t>Function:Internal Audit:Core Function:Governance Function</t>
  </si>
  <si>
    <t>Function:Finance and Administration:Core Function:Administrative and Corporate Support</t>
  </si>
  <si>
    <t>Function:Finance and Administration:Core Function:Finance</t>
  </si>
  <si>
    <t>Function:Community and Social Services:Core Function:Community Halls and Facilities</t>
  </si>
  <si>
    <t>Function:Community and Social Services:Core Function:Cemeteries, Funeral Parlours and Crematoriums</t>
  </si>
  <si>
    <t>No Acting under Snr Management  - assumption positions to be filled</t>
  </si>
  <si>
    <t>Function:Housing:Non-core Function:Housing</t>
  </si>
  <si>
    <t>Function:Waste Management:Core Function:Solid Waste Removal</t>
  </si>
  <si>
    <t>Stand-by &amp; Overtime significantly cut - more employees</t>
  </si>
  <si>
    <t>Function:Waste Water Management:Core Function:Sewerage</t>
  </si>
  <si>
    <t>Function:Public Safety:Core Function:Police Forces, Traffic and Street Parking Control</t>
  </si>
  <si>
    <t>Function:Road Transport:Core Function:Roads</t>
  </si>
  <si>
    <t>Function:Water Management:Core Function:Water Distribution</t>
  </si>
  <si>
    <t>Function:Energy Sources:Core Function:Electricity</t>
  </si>
  <si>
    <t>Function:Public Safety:Non-core Function:Fire Fighting and Protection</t>
  </si>
  <si>
    <t>Function:Community and Social Services:Non-core Function:Libraries and Archives</t>
  </si>
  <si>
    <t>ITEM</t>
  </si>
  <si>
    <t>Basic Salary and Wages</t>
  </si>
  <si>
    <t>Bonuses</t>
  </si>
  <si>
    <t>Travel or Motor Vehicle</t>
  </si>
  <si>
    <t>Housing Benefits</t>
  </si>
  <si>
    <t>Acting and Post Related Allowances</t>
  </si>
  <si>
    <t>Shift Additional Remuneration</t>
  </si>
  <si>
    <t>Cellular and Telephone</t>
  </si>
  <si>
    <t>Pension</t>
  </si>
  <si>
    <t>Medical</t>
  </si>
  <si>
    <t>Group Life Insurance</t>
  </si>
  <si>
    <t>Unemployment Insurance</t>
  </si>
  <si>
    <t>Bargaining Council</t>
  </si>
  <si>
    <t>Skills Development Fund Levy</t>
  </si>
  <si>
    <t>Workmen's Compensation Fund</t>
  </si>
  <si>
    <t>Post-retirement Benefit:Medical</t>
  </si>
  <si>
    <t>COUNCIL REMUNERATION</t>
  </si>
  <si>
    <t>MAYOR</t>
  </si>
  <si>
    <t>DEP MAYOR</t>
  </si>
  <si>
    <t>SPEAKER</t>
  </si>
  <si>
    <t xml:space="preserve">SECTION 79 </t>
  </si>
  <si>
    <t>COUNCILLORS</t>
  </si>
  <si>
    <t>Salary</t>
  </si>
  <si>
    <t>Allowances</t>
  </si>
  <si>
    <t>EMPLOYEE RELATED EXCL EPWP, FMG &amp; SEC 57</t>
  </si>
  <si>
    <t>Municipal Staff (Excl FMG, EPWP &amp; Sect 57)</t>
  </si>
  <si>
    <t>Basic Salary</t>
  </si>
  <si>
    <t>Current year as @ 30 April 2022 projected over 12 months</t>
  </si>
  <si>
    <t xml:space="preserve">• Meet budget assumptions target pertaining to a 85% Collection Rate on billed services. 
• Manage growing outstanding debtors - reduce monthly increase from R3.1 million to R1 million
Collection rate improvement represents about R1million/ annum / 1% on billed revenue 
</t>
  </si>
  <si>
    <t xml:space="preserve">Award tenders in support of activity including: 
- Tender for issuing of summonses to be awarded 
-Address non-technical losses via exception reporting on pre-paid after system clean-up
- Data collection and meter verification will enable improvement in exception reporting 
</t>
  </si>
  <si>
    <t xml:space="preserve">- Expand the implementation of pre-paid water meters to include all residential connections (ultimate objective)
</t>
  </si>
  <si>
    <t xml:space="preserve">To be updated on a monthly basis - reported by Council  to Provincial Treasury </t>
  </si>
  <si>
    <t xml:space="preserve">• Pre-Paid contract active - including water
• Public participation to expand pre-paid water to all residential properties and business where applicable.
• Auxiliary function to be used more widespread
• Build capacity and address the risk of over reliance on individuals
</t>
  </si>
  <si>
    <t xml:space="preserve">• Continuous improvement in credit control and maintenance of debtors system </t>
  </si>
  <si>
    <t>• Continuous strengthening &amp; Improvement in credit control actions + monitoring of progress
• Appoint an additional accountant if return on investment will justify the appointment &amp; funding is available</t>
  </si>
  <si>
    <t>• If applicable and / or needed - phase II of the meter verification, TID &amp; data collection project
• Building internal capacity to be a continuous process + improved efficiency and control</t>
  </si>
  <si>
    <t>• Monitor over /above FBS  consumption of Indigent households
• Manage prescription debt
• Optimal indigent management and simplify registration processes</t>
  </si>
  <si>
    <t xml:space="preserve">• Improved revenue - to quantify first needs to understand the extend of the problem 
</t>
  </si>
  <si>
    <t xml:space="preserve">• Debtors data to be updated on the accounting system
• Services linked to a property &amp; establish uniformity in data capturing
• Debtor cleansing
 </t>
  </si>
  <si>
    <t>• If necessary the TID verification can be split and done over 2 financial years - to continue if necessary
• Verification project - return will cover the cost
• Annual SV - building control inputs</t>
  </si>
  <si>
    <t xml:space="preserve">
• Annual SV - building control inputs</t>
  </si>
  <si>
    <t>• Ensure Accurate Monthly Meter Reading &amp; Address and monitor billing parameters
• Rates &amp; Debtors reconciliation differences to be addressed timeously</t>
  </si>
  <si>
    <t>• Ensure that correct details of accountholder are on record and have been verified. 
• Standardised processes &amp; SOP's</t>
  </si>
  <si>
    <t>• Improvement meter management - monitor connections and all to be linked to a property. Quarterly reconciliations on services to ensure all services are build.
• Building control to provide monthly reports</t>
  </si>
  <si>
    <t>• Continuous process</t>
  </si>
  <si>
    <t xml:space="preserve">• Communication between departments - Meter Installation &amp; reporting of broken meters
• Communication campaign on availability of account and the expansion of methods of communication
• See to it that technical department calibrate all bulk meters at least annually. 
• CFO and technical manager to get a monthly listing of defective meters. </t>
  </si>
  <si>
    <t xml:space="preserve">• Improved access to accounts at a lower cost - email information to be collected during meter verification process and updated. 
• Address broken meters and instances of no meters as identified during verification. 
</t>
  </si>
  <si>
    <t>• Continuous process
• Meter readers to provide feedback on meters</t>
  </si>
  <si>
    <t xml:space="preserve">• Improved / complete rent register that reconciles to actual billing 
• Improved recordkeeping 
•Additional revenue - R50k
• Address revenue shortfall on rent out of municipal assets - R50k
</t>
  </si>
  <si>
    <t>• Ensure all lease contracts are in place &amp; up to date
• market related rent where applicable. 
• Apply credit control 
• Optimal use of municipal fixed assets</t>
  </si>
  <si>
    <t>• Manage all municipal rental contracts</t>
  </si>
  <si>
    <t>• Ensure law enforcement work required time as required by speed camera lessee
• Monthly departmental reporting</t>
  </si>
  <si>
    <t xml:space="preserve">
• Improve customer relations
• Monitor progress</t>
  </si>
  <si>
    <t xml:space="preserve">• Manage Overtime, Stand-by, 
• Cut Empl costs by R300k
• Leave, Allowances, S&amp;T
• Reduce leave liability
• Increase productivity &amp; 
• Improved org. culture </t>
  </si>
  <si>
    <t>• Continues improvement in effectiveness &amp; productivity in the use of HR
• Cut Empl costs by R700k
• Manage planned activities not to pay overtime &amp; allowances</t>
  </si>
  <si>
    <t>• Review all HR policies in context of the cost containment measures;
• Phased-in implementation of cost cutting measures on allowances;
• Ensure completeness of HR records;
• Cost containment measures implemented &amp; reported upon; 
• Ensure that all policies be workshopped and well understood; and 
• Ensure compliance to Staff Regulations</t>
  </si>
  <si>
    <t xml:space="preserve">
• promote implementation. To be monitored on a monthly basis ;
• Strengthen and institutionalise cost containment and service delivery; and
• Re-evaluate business process and sure a more efficient way of addressing business process. (Technical support DLG &amp; MISA Support) 
• Grade positions and like notch increases to performance management and subject to a funded budget
</t>
  </si>
  <si>
    <t>• Keep HR policies up to date and ensure compliance
• Monitor costs and authorisations
• Prioritised appointments</t>
  </si>
  <si>
    <t xml:space="preserve">• Approve policy for the appointment of consultants, stringent monitoring and see to value for money. 
• A "needs" analysis must be completed and ensure that the appointment is justifiable; and
• Monitor performance. </t>
  </si>
  <si>
    <t>SOP's and clear policy guidance to be followed on the appointment of contractors / consultants</t>
  </si>
  <si>
    <t>• Recognise expenditure when incurred and capture immediately on the system / Use GRN's and/or creditors sub-system;
• Improve accuracy of reporting
• Monthly cash flow planning; and
• Establish a budget steering committee in line with MBRR</t>
  </si>
  <si>
    <t xml:space="preserve">• Monthly payable reconciliations;
• Develop a strategy to deal with creditors in arrears and interest charges; and 
• AG fees to 1% of Exp </t>
  </si>
  <si>
    <t>• Manage expenditure process and ensure proper procedures and controls are in place.
• Budget Steering Committee to monitor</t>
  </si>
  <si>
    <t xml:space="preserve">Seamlessly integrated system </t>
  </si>
  <si>
    <t>• Reduce water losses to 20%</t>
  </si>
  <si>
    <t>• Reduce water losses to 15%</t>
  </si>
  <si>
    <t>• Continuous process
• Meter readers to provide feedback on meters &amp; communicate technical department
• Monitor - analyse and understand losses</t>
  </si>
  <si>
    <t>• Reduce Elec losses by 1%
• R130 k reduction in bulk account</t>
  </si>
  <si>
    <t>• Reduce Elec losses by 2.5%
for the full year
• R1 million</t>
  </si>
  <si>
    <t xml:space="preserve">• Reduce theft through exception reporting and monitoring of use. 
• Technical losses managed by isolating areas of high losses and fix
• Meter verification &amp; TID process
</t>
  </si>
  <si>
    <t>• Continuous monitoring and exception reporting</t>
  </si>
  <si>
    <t xml:space="preserve">Asset Accountant / CFO / </t>
  </si>
  <si>
    <t xml:space="preserve">• Reduce fleet opex by 30% over the financial year
</t>
  </si>
  <si>
    <t>• Appoint a fleet monitoring clerk
• Manage fuel and vehicle usage. (tyres / licensing etc. )
• Monthly reporting
• Review policy considerations</t>
  </si>
  <si>
    <t>Improved asset management and reporting</t>
  </si>
  <si>
    <t>• Identify uneconomical assets. 
• Identify indicators of impairment and reason. 
• Maintain through maintenance plans and avail finances for financing
• Timeously identify missing assets
• Develop a R&amp;M Policy  / Strategy</t>
  </si>
  <si>
    <t>Maak reg die monthly receipts</t>
  </si>
  <si>
    <t xml:space="preserve">Traffic to be included </t>
  </si>
  <si>
    <t>TO BE UPDATED WITH FINAL BUDGET</t>
  </si>
  <si>
    <t>Line  Items</t>
  </si>
  <si>
    <t>Projected</t>
  </si>
  <si>
    <t>R'000</t>
  </si>
  <si>
    <t>Opening balance as per  bank  statement</t>
  </si>
  <si>
    <t>Pre-Paid Electricity</t>
  </si>
  <si>
    <t>Water</t>
  </si>
  <si>
    <t>Refuse</t>
  </si>
  <si>
    <t>sanitation</t>
  </si>
  <si>
    <t>Other</t>
  </si>
  <si>
    <t>Rental of facilities and equipment - Community Halls Etc</t>
  </si>
  <si>
    <t>Rental _ Municipal Fixed Property</t>
  </si>
  <si>
    <t xml:space="preserve">Fines, penalties and forfeits - Speed Fines </t>
  </si>
  <si>
    <t>Fines, penalties and forfeits - Spot fines</t>
  </si>
  <si>
    <t>Agency services - Dept Transport</t>
  </si>
  <si>
    <t>Overdraft</t>
  </si>
  <si>
    <t>VAT</t>
  </si>
  <si>
    <t>Total Internal machanism</t>
  </si>
  <si>
    <t>Total Grants</t>
  </si>
  <si>
    <t>Equitable Share Allocation</t>
  </si>
  <si>
    <t>Municipal Infrastructure Grant</t>
  </si>
  <si>
    <t>Municipal Systems Improvement Grant</t>
  </si>
  <si>
    <t>Expanded Public Works Programme Integrated Grant</t>
  </si>
  <si>
    <t>Local Government Financial Management Grant</t>
  </si>
  <si>
    <t>Regional Bulk Infrastructure Grant</t>
  </si>
  <si>
    <t>Water Services Infrastructure Grant</t>
  </si>
  <si>
    <t>Financial Management Capacity Building Grant</t>
  </si>
  <si>
    <t>Human Settlements Dev elopment Grant (Beneficiaries)</t>
  </si>
  <si>
    <t>Financial Assistance to Municipalities for Maintenance and Construction of Transport Infrastructure</t>
  </si>
  <si>
    <t>Community library services grant</t>
  </si>
  <si>
    <t>Library services replacement funding for most vulnerable B3 municipalities</t>
  </si>
  <si>
    <t>Community Dev elopment Worker Operational Support Grant</t>
  </si>
  <si>
    <t>Municipal Drought Relief Grant</t>
  </si>
  <si>
    <t>Loans/ overdraft</t>
  </si>
  <si>
    <t>Total External Machanism</t>
  </si>
  <si>
    <t>Total Receipts</t>
  </si>
  <si>
    <t>Previous outstanding  creditors</t>
  </si>
  <si>
    <t>Eskom Payment Arrangement</t>
  </si>
  <si>
    <t>Payment Arrangements - Outstanding creditors</t>
  </si>
  <si>
    <t>Salaries and wages</t>
  </si>
  <si>
    <t>Capital Expenditure</t>
  </si>
  <si>
    <t>Repair and Maintainance</t>
  </si>
  <si>
    <t>Banking Costs &amp; Dt Orders</t>
  </si>
  <si>
    <t>Fleet</t>
  </si>
  <si>
    <t>Other Expenditure</t>
  </si>
  <si>
    <t>Closing balance surplus/(deficit)</t>
  </si>
  <si>
    <t>This will populate "Funding" tab</t>
  </si>
  <si>
    <t>Meter verification, TID &amp; data collection project</t>
  </si>
  <si>
    <t xml:space="preserve">Tender for issuing of summonses to be awarded </t>
  </si>
  <si>
    <t>SAMRAS - Credit Control Module activate and support</t>
  </si>
  <si>
    <t>Action against biggest Debtors</t>
  </si>
  <si>
    <t>Adding additional pay-points / Indigent registration</t>
  </si>
  <si>
    <t>Reconciliations</t>
  </si>
  <si>
    <t>Referred back to evaluation for clarity on pricing</t>
  </si>
  <si>
    <t>Phase I - To be specified during specs evaluation/assessment</t>
  </si>
  <si>
    <t>Phase II - To be specified during specs evaluation/assessment</t>
  </si>
  <si>
    <t>Phase III - To be specified during specs evaluation/assessment</t>
  </si>
  <si>
    <t>Tender to be awarded and project commencement</t>
  </si>
  <si>
    <t>Bulk SMS's - Credit Control / Check with SAMRAS credit control module</t>
  </si>
  <si>
    <t>Exception reporting - Improved</t>
  </si>
  <si>
    <t>Dependent availability of SAMRAS (part of FMG support Plan)</t>
  </si>
  <si>
    <t>SMS's can be done internally (part of FMG support Plan)</t>
  </si>
  <si>
    <t>Strengthen internal capacity</t>
  </si>
  <si>
    <t>Appointment Accountant -  Debtors</t>
  </si>
  <si>
    <t>VWD - (tools of trade to be issued)</t>
  </si>
  <si>
    <t>Adding additional - Indigent registration (temporarily - Maxi Hall)</t>
  </si>
  <si>
    <t>Zoar  (tools of trade to be issued)</t>
  </si>
  <si>
    <t>Adding additional - Indigent registration (temporarily - Bergsig Library)</t>
  </si>
  <si>
    <t>Czd  (tools of trade to be issued)</t>
  </si>
  <si>
    <t>Dependent on summons processes (can start with notices to be issued &amp; addressing disputes)</t>
  </si>
  <si>
    <t>Improved Monthly Collection Rate</t>
  </si>
  <si>
    <t>Improved Accuracy in Billing</t>
  </si>
  <si>
    <t>Water &amp; Electricity Meters to be recorded correctly on the system</t>
  </si>
  <si>
    <t>Rates / billing recon - quarterly (being done to ensure billing completeness) -Addressing Reconciliation differences (in place)</t>
  </si>
  <si>
    <t>Stakeholder Communication</t>
  </si>
  <si>
    <t>Management of Bulk Services</t>
  </si>
  <si>
    <t>Calibrate and monitor bulk meters (Control meters and annual calibration part of technical maintenance plan)</t>
  </si>
  <si>
    <t xml:space="preserve">Start processes for meter verification, TID &amp; data collection project - Specs for tender  </t>
  </si>
  <si>
    <t>System in place to ensure technical department address issues escalated</t>
  </si>
  <si>
    <t>Appointment Customer Care Clerk</t>
  </si>
  <si>
    <t>Uniformity in capturing and data cleansing through verification project - SOP's to be put in place and actual corrections to correlate with verification process</t>
  </si>
  <si>
    <t>System in place to communicate and follow progress on replacement and installing of meters. Connecting of new services to a property. (Role clarification building control, technical &amp; billing)</t>
  </si>
  <si>
    <t>Communication campaign - methods of payment, accounts to be emailed, accounts available online - communicate to the public</t>
  </si>
  <si>
    <t>Rental Income</t>
  </si>
  <si>
    <t>Rental Contracts</t>
  </si>
  <si>
    <t>Traffic Department</t>
  </si>
  <si>
    <t>Procurement process- vendor to be appointed for speed cameras</t>
  </si>
  <si>
    <t>Enhance rental income for municipal properties like community facilities &amp; equipment</t>
  </si>
  <si>
    <t>Rental income all municipal properties and market related where applicable</t>
  </si>
  <si>
    <t>Address traffic department revenue shortfall - increased spot fines, licenses, roadworthy etc. - address inefficiencies - report progress</t>
  </si>
  <si>
    <t>Human Resources</t>
  </si>
  <si>
    <t>Address traffic department leadership and structuring - Head of department to be appointed</t>
  </si>
  <si>
    <t xml:space="preserve">Completeness HR records (leave, sick leave and employee Masterfile information) </t>
  </si>
  <si>
    <t>Approve a Contract Management Policy &amp; Checklist for vendor performance management and need analysis before appointing</t>
  </si>
  <si>
    <t>Cost Containment Measures</t>
  </si>
  <si>
    <t>Creditors</t>
  </si>
  <si>
    <t>Budgeting</t>
  </si>
  <si>
    <t>Weekly cash flow monitoring</t>
  </si>
  <si>
    <t>Establish Budget Steering Committee (budget implementation &amp; grant management monitoring)</t>
  </si>
  <si>
    <t>Water &amp; Electricity Losses</t>
  </si>
  <si>
    <t>Isolating high loss and fix (water) / exception reporting &amp; monitoring of use</t>
  </si>
  <si>
    <t>Pre-Paid water meters first Indigent households as policy dictate - linked to verification project</t>
  </si>
  <si>
    <t>Improved fleet management - Policy implementation, monitoring of fuel use &amp; monthly reporting</t>
  </si>
  <si>
    <t>Develop a R&amp;M plan / strategy</t>
  </si>
  <si>
    <t>Other Measures</t>
  </si>
  <si>
    <t>Status</t>
  </si>
  <si>
    <t>Comments / Reasons / remedial action</t>
  </si>
  <si>
    <t>Alternative Date</t>
  </si>
  <si>
    <t xml:space="preserve">Not Due </t>
  </si>
  <si>
    <t>Target Missed</t>
  </si>
  <si>
    <t>Achieved</t>
  </si>
  <si>
    <t>Due Date</t>
  </si>
  <si>
    <t>Date Achieved</t>
  </si>
  <si>
    <t>Activity</t>
  </si>
  <si>
    <t>Activity Detail</t>
  </si>
  <si>
    <t xml:space="preserve">Compliance with Staff regulations and address structure inefficiencies + organogram payroll recon. Appointments to be prioritised and "need" justified </t>
  </si>
  <si>
    <t xml:space="preserve">Compliance with section 65 of the MFMA. Recognition of expenditure when incurred. Sub-system to be used and reconciled </t>
  </si>
  <si>
    <t>Liabilities</t>
  </si>
  <si>
    <t>Clearing and dealing with old grants on grant register</t>
  </si>
  <si>
    <t>Improved grant &amp; retention management  - address PMU inefficiencies and administrative  responsibilities clarified</t>
  </si>
  <si>
    <t>Identify and consolidate Eskom service points (reduce monthly account)</t>
  </si>
  <si>
    <t>Fill critical vacancies - "justifiable needs assessment" first. Revenue generating / protecting in nature - prioritise</t>
  </si>
  <si>
    <t>Ensure that there are rental contracts for all properties on the rent-register</t>
  </si>
  <si>
    <t>Budget Funding Implementation Schedule</t>
  </si>
  <si>
    <t xml:space="preserve">KANNALAND MUNICIPALITY CASH FLOW FOR THE FINANCIAL YEAR 2023/24                                                                                            </t>
  </si>
  <si>
    <t>Appoint an external services provider for debt collection</t>
  </si>
  <si>
    <t>Funding Plan '2023/24</t>
  </si>
  <si>
    <t>Funding Plan '2024/25</t>
  </si>
  <si>
    <t>Funding Plan '2025/26</t>
  </si>
  <si>
    <t>Manage and minimise water &amp; electricity losses</t>
  </si>
  <si>
    <t>No capital payment on overdue Eskom debt when the Municipality apply for this 3 year programme</t>
  </si>
  <si>
    <t>No interest accumulation or payment on overdue balance owed to Eskom when the Municipality apply for this 3 year programme</t>
  </si>
  <si>
    <t>Thusong Centre - (tools of trade to be issued)</t>
  </si>
  <si>
    <t xml:space="preserve">Phased in approach to cost cutting measures - address allowances, standby, overtime etc. </t>
  </si>
  <si>
    <t>Implement a performance management system for all managers (consequence management + improvement discipline)</t>
  </si>
  <si>
    <t>Short to Medium Term - 
1 Jul 2023 to 31 Dec 2023</t>
  </si>
  <si>
    <t>Long Term (Jan 2024 to June 2024</t>
  </si>
  <si>
    <t xml:space="preserve">Activities 
(To be implemented immediately to 31 December 2023)
</t>
  </si>
  <si>
    <t>Activities 
(To be implemented longer term Jan 2024 - Jun 2024)</t>
  </si>
  <si>
    <t>Activities
(MTREF 2023/24 +1)
2024/2025</t>
  </si>
  <si>
    <t>Activities
(MTREF 2023/24 +2)
2025/2026</t>
  </si>
  <si>
    <t>- Strengthen internal  capacity 
• Appoint an debtors accountant
• Appoint a customer care clerk
• Provide tools of trade (credit control module and enabling tools)
- Resolve outstanding queries - 
• Account disputes 
• Policy (CreditC) implementation
• Identify and 80 biggest debtors and collect.
• Outsource Debt collection</t>
  </si>
  <si>
    <t>• Introduce pre-paid water to indigent households
• Monitor over /above FBS  consumption of Indigent households
- Add additional pay-points to LDS VWD &amp; ZOAR</t>
  </si>
  <si>
    <t>• Avoid prescription debt &amp; meet requirements of an official demand for payment 
• Manage prescription debt and debtors book
• Ensure proper debt collection processes is followed</t>
  </si>
  <si>
    <t>• Start with (debtor) data collection and meter verification
• Water and Electricity meters to be recorded correctly and linked to the financial system (pre-paid meters linked) - enable auxiliaries</t>
  </si>
  <si>
    <t>• Continuous strengthening of activity
• Improved Revenue
•Evaluate where applicable market related rent &amp; economical viability of rent-generating /underlying asset</t>
  </si>
  <si>
    <t>• Address traffic dept revenue
• Procure a vendor for the administration of speed fines.
• Revenue projection - improving of service</t>
  </si>
  <si>
    <t xml:space="preserve">• Revenue target  R4million
• Continuous improvement &amp; increase in productivity
</t>
  </si>
  <si>
    <t>• Improve Revenue generation by 5% - target
• Additional revenue of R 2.9 million - changes in category &amp; meter replacements biggest potential source of revenue</t>
  </si>
  <si>
    <t>• Maintain at least an average collection rate of 85% for the full financial year. 
• Reduce the over R100 million debt by 15%</t>
  </si>
  <si>
    <t>The tender was not awarded, it will be re-advertised.</t>
  </si>
  <si>
    <t>The Municipality are making use of the services of a Seconded Technical Director. This will allow management to implement cross departmental actioned. The technical department in conjunctioon with the meter reading department will ensure all faulty meters are replaced.</t>
  </si>
  <si>
    <t>The Municipality managed to procure bulk messages and it forms part of the debt collection process. The Municipality appointed a Accountant Debt Collection to ensure a dedicated focus on overdue accounts</t>
  </si>
  <si>
    <t>The Municipality obted to appoint a Accountant responsible for Debt Collection. The Credit Control Module implementation will be investigated and detailed recommendations will be considered.</t>
  </si>
  <si>
    <t>The debt colelction team is busy prioritising the higest debtors per month.</t>
  </si>
  <si>
    <t>The Municipality obted to appoint a Accountant responsible for Debt Collection. It also appointed a clerk within the delpartment.</t>
  </si>
  <si>
    <t>The Municipality are busy exploring the options to increase the pay-points. A site visit was conducted and a particular office was identified. The Municipality must identify savings to make the necessary adjustments, safety proof the office.</t>
  </si>
  <si>
    <t>The Municipality are busy exploring the options to increase the pay-points. It was concluded that a possible relief cashier be used on selected days.</t>
  </si>
  <si>
    <t>The Municipality throughout the month of July 2023 embarked on numerous indigent registration initatives. This was rewarding as people managed to register.</t>
  </si>
  <si>
    <t>2021/22</t>
  </si>
  <si>
    <t>2022</t>
  </si>
  <si>
    <t>2021</t>
  </si>
  <si>
    <t>Current Year 2022/23</t>
  </si>
  <si>
    <t>The tender was advertised, only one application was received. The tender expired and will be re-advertised. This process will commence shortly. The Municipality will re-assess the process and attempt to re-advertise the tender.</t>
  </si>
  <si>
    <t>The Municipality advertsied for this position and is busy with the recruitment process. An appointment will be made once the process has been concluded.The appointment has been made and the candidate will start on 01 December 2023.</t>
  </si>
  <si>
    <t>The valuation roll is being reconciled and all variances reported on monthly. A action plan has been drawn up to address outstanding matters.</t>
  </si>
  <si>
    <t>An interdepartmental working group will be etsablised and the finance department will be in charge of the data of each meter</t>
  </si>
  <si>
    <t>Rental contracts must be adjusted with market related rental income. All oustanding rental contract must be signed.</t>
  </si>
  <si>
    <t>This is currently in process, the position has been advertised, HR is yet to make the appointment</t>
  </si>
  <si>
    <t>Due to a lack in leadership the department does not have a clear action plan. The targets must be revised to end of December 2023. It seems unlikely that the projected revenue target for this will be achieved.</t>
  </si>
  <si>
    <t>This is still outstanding, a draft performance plan and contracts have been implemented for directors. The Municipality must enlist the get access to a performance management system to effectively implement a PMS.</t>
  </si>
  <si>
    <t>Monthly reconciliations is still outstanding, this must be implemented by 31 December 2023.</t>
  </si>
  <si>
    <t>Cash flow meetings is scheduled weekly</t>
  </si>
  <si>
    <t>The Municipality is in the process of establishing a budget steering committee</t>
  </si>
  <si>
    <t>The Municipality performed a detailed grant reconciliation at year-end for the financials statements, this will be corrected in the financial system</t>
  </si>
  <si>
    <t>The organogram is still in development phase</t>
  </si>
  <si>
    <t>Budget Year 2023/24</t>
  </si>
  <si>
    <t>2023/24 Medium Term Revenue &amp; Expenditure Framework</t>
  </si>
  <si>
    <t>Budget Year +1 2024/25</t>
  </si>
  <si>
    <t>Budget Year +2 2025/26</t>
  </si>
  <si>
    <t>Meter audit to be completed to increase collections and decrease losses</t>
  </si>
  <si>
    <t>Approve auxiliary charges, through a council resolution, and policy amendments</t>
  </si>
  <si>
    <t>The Municipality is busy collating the oustanding contracts. The deadline was extended to 31 December 2023 from 31 August 2023. The user department is currently busy with finalising these contracts.</t>
  </si>
  <si>
    <t>The Municipality has rented a traffic camera which is currently in use. The Municipality is currently in the process of auditing the traffic fine system. The progress is not satisfactory and management will review the operations, as the service is under-utilised.</t>
  </si>
  <si>
    <t xml:space="preserve">The Municipality is busy with budget vs actual workshops for each department. Costs containment measures will be implemented once the directors have a better understanding of their budgets. Various cash flow meetings was held with line managers during November 2023. A budget vs actual workshop was also held, budgeted vacant positions were highlighted for the employment of temporary workers, limited until Feb 2024. </t>
  </si>
  <si>
    <t>The Municipality is currently busy with the implementation of controls and the development of a compliant contact register. Various expired contracts will be reviewed to implement cost-containment measures.</t>
  </si>
  <si>
    <t>The Municipality circulated numerous communication with suppliers regarding payment dates, processes and payment terms. As cash flow allow it will attempt to ensure compliance with the section. The Eskom debt relief application has allowed the Municipality to decrease its total liabilities. The final adjustments for the Eskom balance has been received and the Municipality has over R8million credit which will impact the municipalities cash balance positively.</t>
  </si>
  <si>
    <t>The Municipality performed a detailed grant reconciliation at year-end for the financials statements, this will be corrected in the financial system. The financial system will be aligned to the grant register. All historical grants will be reported on as historical expenditure might be off-set against these expense conditions.</t>
  </si>
  <si>
    <t>The Technical department is in the process of implementing a system in which they will address water losses.</t>
  </si>
  <si>
    <t>Fleet management is challenging in the Municipality due to the lack of vehicle management.</t>
  </si>
  <si>
    <t>The Municipality is in the process of embarking on a internal meter audit verification process, by establishing a multi-departmental team to verifiy meter data of all meters within the Municipality. Through this process all water &amp; electricity meters will be audited and replaced if found to be faulty.</t>
  </si>
  <si>
    <t>The Municipality has started exploring this through the technical department.</t>
  </si>
  <si>
    <t>The Municipality is currently busy with an intensive debt collection drive. The focus is on the top 50 debtors. Numerous communication has been circulated with some success. A further drive will ensuite and none paying debtors will be handed over. The Municipality advertised a tender for legal and professional services. None of the bidders were able to assist with Debt Collection. The Municipality obted to re-advertised. The Municipality is in the process of enlisting the services of a debt collection agency and all overdue debtors will be handed-over systematically.</t>
  </si>
  <si>
    <t>The debtors and metering department is busy with a meter audit. A number of faulty meters has been identified for repairs and replacement. The Municipality has established a operating team consisting of the technical and finance department to peform a detailed analysis throughout the Municipality. The process already started and will be completed by end of January 2024.</t>
  </si>
  <si>
    <t>Accounts is being emailed to debtors monthly. The council resolved that the CFO can engage outstanding debtors on a payment plan or settlement arrangement.</t>
  </si>
  <si>
    <t>Bulk meters are being monitored monthly. The Municipality is currently in the processes of going out on tender for the reading of all bulk meters.</t>
  </si>
  <si>
    <t>R thousands</t>
  </si>
  <si>
    <t>Exchange Revenue</t>
  </si>
  <si>
    <t>Service charges - Electricity</t>
  </si>
  <si>
    <t>Service charges - Water</t>
  </si>
  <si>
    <t>Service charges - Waste Water Management</t>
  </si>
  <si>
    <t>Service charges - Waste management</t>
  </si>
  <si>
    <t>Sale of Goods and Rendering of Services</t>
  </si>
  <si>
    <t>Interest earned from Receivables</t>
  </si>
  <si>
    <t>Interest earned from Current and Non Current Assets</t>
  </si>
  <si>
    <t>Rent on Land</t>
  </si>
  <si>
    <t>Rental from Fixed Assets</t>
  </si>
  <si>
    <t>Licence and permits</t>
  </si>
  <si>
    <t>Operational Revenue</t>
  </si>
  <si>
    <t>Non-Exchange Revenue</t>
  </si>
  <si>
    <t>Surcharges and Taxes</t>
  </si>
  <si>
    <t>Transfer and subsidies - Operational</t>
  </si>
  <si>
    <t>Fuel Levy</t>
  </si>
  <si>
    <t>Gains on disposal of Assets</t>
  </si>
  <si>
    <t>Other Gains</t>
  </si>
  <si>
    <t>Discontinued Operations</t>
  </si>
  <si>
    <t>Bulk purchases - electricity</t>
  </si>
  <si>
    <t>Inventory consumed</t>
  </si>
  <si>
    <t>Depreciation and amortisation</t>
  </si>
  <si>
    <t>Irrecoverable debts written off</t>
  </si>
  <si>
    <t>Operational costs</t>
  </si>
  <si>
    <t>Losses on Disposal of Assets</t>
  </si>
  <si>
    <t>Other Losses</t>
  </si>
  <si>
    <t>Transfers and subsidies - capital (monetary allocations)</t>
  </si>
  <si>
    <t>Transfers and subsidies - capital (in-kind)</t>
  </si>
  <si>
    <t>Surplus/(Deficit) after capital transfers &amp; contributions</t>
  </si>
  <si>
    <t>Income Tax</t>
  </si>
  <si>
    <t>Surplus/(Deficit) after income tax</t>
  </si>
  <si>
    <t>Share of Surplus/Deficit attributable to Joint Venture</t>
  </si>
  <si>
    <t>Share of Surplus/Deficit attributable to Minorities</t>
  </si>
  <si>
    <t>Surplus/(Deficit) attributable to municipality</t>
  </si>
  <si>
    <t>Share of Surplus/Deficit attributable to Associate</t>
  </si>
  <si>
    <t>Intercompany/Parent subsidiary transactions</t>
  </si>
  <si>
    <t>Surplus/ (Deficit) for the year</t>
  </si>
  <si>
    <t>1. Material variances to be explained on Table SC1</t>
  </si>
  <si>
    <t>Total Revenue (excluding capital transfers and contributions) including capital transfers/contributions etc</t>
  </si>
  <si>
    <t>Check Surplus/(Deficit) for the Year (C2)</t>
  </si>
  <si>
    <t>Check Surplus/(Deficit) for the Year (C3)</t>
  </si>
  <si>
    <t>Check Surplus/(Deficit) for the Year (C6)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</si>
</sst>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_-&quot;R&quot;* #,##0_-;\-&quot;R&quot;* #,##0_-;_-&quot;R&quot;* &quot;-&quot;_-;_-@_-"/>
    <numFmt numFmtId="165" formatCode="_-&quot;R&quot;* #,##0.00_-;\-&quot;R&quot;* #,##0.00_-;_-&quot;R&quot;* &quot;-&quot;??_-;_-@_-"/>
    <numFmt numFmtId="166" formatCode="_-* #,##0.00_-;\-* #,##0.00_-;_-* &quot;-&quot;??_-;_-@_-"/>
    <numFmt numFmtId="167" formatCode="#,###,;\(#,###,\)"/>
    <numFmt numFmtId="168" formatCode="_(* #,##0,_);_(* \(#,##0,\);_(* &quot;–&quot;?_);_(@_)"/>
    <numFmt numFmtId="169" formatCode="_ * #,##0_ ;_ * \-#,##0_ ;_ * &quot;-&quot;??_ ;_ @_ "/>
    <numFmt numFmtId="170" formatCode="_-&quot;R&quot;* #,##0_-;\-&quot;R&quot;* #,##0_-;_-&quot;R&quot;* &quot;-&quot;??_-;_-@_-"/>
    <numFmt numFmtId="171" formatCode="&quot;  &quot;\ #,##0.00_);\(&quot;  &quot;\ #,##0.00\)"/>
    <numFmt numFmtId="172" formatCode="_(* #,##0_);_(* \(#,##0\);_(* &quot;0&quot;_);_(@_)"/>
    <numFmt numFmtId="173" formatCode="_-&quot;R&quot;* #,##0.00_-;\-&quot;R&quot;* #,##0.00_-;_-&quot;R&quot;* &quot;-&quot;???_-;_-@_-"/>
    <numFmt numFmtId="174" formatCode="0.0%"/>
    <numFmt numFmtId="175" formatCode="_(* #,##0_);_(* \(#,##0\);_(* &quot;-&quot;??_);_(@_)"/>
    <numFmt numFmtId="176" formatCode="#,###,"/>
    <numFmt numFmtId="177" formatCode="_ * #,##0.00_ ;_ * \-#,##0.00_ ;_ * &quot;-&quot;??_ ;_ @_ "/>
    <numFmt numFmtId="178" formatCode="_-* #,##0_-;\-* #,##0_-;_-* &quot;-&quot;??_-;_-@_-"/>
  </numFmts>
  <fonts count="72">
    <font>
      <sz val="11"/>
      <color theme="1"/>
      <name val="Calibri"/>
      <family val="2"/>
      <scheme val="minor"/>
    </font>
    <font>
      <sz val="11"/>
      <color theme="1"/>
      <name val="Calibri"/>
      <family val="2"/>
      <scheme val="minor"/>
    </font>
    <font>
      <b/>
      <sz val="10"/>
      <name val="Arial Narrow"/>
      <family val="2"/>
    </font>
    <font>
      <sz val="10"/>
      <name val="Arial Narrow"/>
      <family val="2"/>
    </font>
    <font>
      <b/>
      <sz val="8"/>
      <name val="Arial Narrow"/>
      <family val="2"/>
    </font>
    <font>
      <sz val="8"/>
      <name val="Arial Narrow"/>
      <family val="2"/>
    </font>
    <font>
      <b/>
      <u/>
      <sz val="8"/>
      <name val="Arial Narrow"/>
      <family val="2"/>
    </font>
    <font>
      <sz val="10"/>
      <name val="Arial"/>
      <family val="2"/>
    </font>
    <font>
      <u/>
      <sz val="8"/>
      <name val="Arial Narrow"/>
      <family val="2"/>
    </font>
    <font>
      <i/>
      <u/>
      <sz val="8"/>
      <name val="Arial Narrow"/>
      <family val="2"/>
    </font>
    <font>
      <i/>
      <sz val="8"/>
      <name val="Arial Narrow"/>
      <family val="2"/>
    </font>
    <font>
      <b/>
      <sz val="11"/>
      <color theme="1"/>
      <name val="Calibri"/>
      <family val="2"/>
      <scheme val="minor"/>
    </font>
    <font>
      <sz val="11"/>
      <color theme="1"/>
      <name val="Arial Nova Cond"/>
      <family val="2"/>
    </font>
    <font>
      <sz val="10"/>
      <color theme="1"/>
      <name val="Arial Nova Cond"/>
      <family val="2"/>
    </font>
    <font>
      <b/>
      <sz val="11"/>
      <color theme="1"/>
      <name val="Arial Nova Cond"/>
      <family val="2"/>
    </font>
    <font>
      <sz val="9"/>
      <color theme="1"/>
      <name val="Arial Nova"/>
      <family val="2"/>
    </font>
    <font>
      <b/>
      <sz val="9"/>
      <color rgb="FF000000"/>
      <name val="Arial Nova Cond"/>
      <family val="2"/>
    </font>
    <font>
      <b/>
      <sz val="9"/>
      <name val="Arial Nova Cond"/>
      <family val="2"/>
    </font>
    <font>
      <sz val="9"/>
      <name val="Arial Nova Cond"/>
      <family val="2"/>
    </font>
    <font>
      <sz val="9"/>
      <color theme="1"/>
      <name val="Arial Nova Cond"/>
      <family val="2"/>
    </font>
    <font>
      <sz val="11"/>
      <color theme="0"/>
      <name val="Calibri"/>
      <family val="2"/>
      <scheme val="minor"/>
    </font>
    <font>
      <sz val="14"/>
      <color theme="1"/>
      <name val="Arial"/>
      <family val="2"/>
    </font>
    <font>
      <b/>
      <sz val="14"/>
      <color theme="1"/>
      <name val="Arial"/>
      <family val="2"/>
    </font>
    <font>
      <sz val="10"/>
      <color theme="1"/>
      <name val="Arial"/>
      <family val="2"/>
    </font>
    <font>
      <b/>
      <sz val="12"/>
      <color theme="1"/>
      <name val="Arial"/>
      <family val="2"/>
    </font>
    <font>
      <sz val="11"/>
      <color theme="1"/>
      <name val="Arial"/>
      <family val="2"/>
    </font>
    <font>
      <b/>
      <sz val="11"/>
      <color theme="1"/>
      <name val="Arial"/>
      <family val="2"/>
    </font>
    <font>
      <b/>
      <sz val="10"/>
      <color theme="1"/>
      <name val="Arial"/>
      <family val="2"/>
    </font>
    <font>
      <b/>
      <sz val="11"/>
      <color rgb="FF000000"/>
      <name val="Arial"/>
      <family val="2"/>
    </font>
    <font>
      <sz val="11"/>
      <color rgb="FF000000"/>
      <name val="Arial"/>
      <family val="2"/>
    </font>
    <font>
      <sz val="9"/>
      <color rgb="FF000000"/>
      <name val="&quot;arial nova cond&quot;"/>
    </font>
    <font>
      <u/>
      <sz val="11"/>
      <color rgb="FF000000"/>
      <name val="Arial"/>
      <family val="2"/>
    </font>
    <font>
      <sz val="11"/>
      <color theme="1"/>
      <name val="Times New Roman"/>
      <family val="1"/>
    </font>
    <font>
      <b/>
      <sz val="12"/>
      <color theme="1"/>
      <name val="Arial Nova Cond"/>
      <family val="2"/>
    </font>
    <font>
      <b/>
      <sz val="9"/>
      <color theme="1"/>
      <name val="Arial Nova Cond"/>
      <family val="2"/>
    </font>
    <font>
      <b/>
      <sz val="12"/>
      <color theme="0"/>
      <name val="Arial Nova Cond"/>
      <family val="2"/>
    </font>
    <font>
      <b/>
      <sz val="16"/>
      <color theme="0"/>
      <name val="Arial Nova Cond"/>
      <family val="2"/>
    </font>
    <font>
      <b/>
      <sz val="12"/>
      <name val="Arial Nova Cond"/>
      <family val="2"/>
    </font>
    <font>
      <b/>
      <sz val="11"/>
      <color theme="0"/>
      <name val="Arial Nova Cond"/>
      <family val="2"/>
    </font>
    <font>
      <b/>
      <sz val="14"/>
      <color theme="1"/>
      <name val="Arial Nova Cond"/>
      <family val="2"/>
    </font>
    <font>
      <b/>
      <sz val="10"/>
      <color theme="0"/>
      <name val="Arial Narrow"/>
      <family val="2"/>
    </font>
    <font>
      <b/>
      <sz val="9"/>
      <color theme="0"/>
      <name val="Arial Nova Cond"/>
      <family val="2"/>
    </font>
    <font>
      <sz val="9"/>
      <color theme="0"/>
      <name val="Arial Nova"/>
      <family val="2"/>
    </font>
    <font>
      <sz val="9"/>
      <color theme="0"/>
      <name val="Arial Nova Cond"/>
      <family val="2"/>
    </font>
    <font>
      <b/>
      <sz val="9"/>
      <color theme="0"/>
      <name val="Arial"/>
      <family val="2"/>
    </font>
    <font>
      <sz val="9"/>
      <color theme="0"/>
      <name val="Arial"/>
      <family val="2"/>
    </font>
    <font>
      <sz val="9"/>
      <color theme="1"/>
      <name val="Arial"/>
      <family val="2"/>
    </font>
    <font>
      <b/>
      <sz val="14"/>
      <color theme="0"/>
      <name val="Arial"/>
      <family val="2"/>
    </font>
    <font>
      <b/>
      <sz val="9"/>
      <color theme="1"/>
      <name val="Arial"/>
      <family val="2"/>
    </font>
    <font>
      <b/>
      <sz val="9"/>
      <name val="Arial"/>
      <family val="2"/>
    </font>
    <font>
      <b/>
      <sz val="12"/>
      <color theme="7" tint="0.79998168889431442"/>
      <name val="Arial Nova Cond"/>
      <family val="2"/>
    </font>
    <font>
      <sz val="12"/>
      <color theme="7" tint="0.79998168889431442"/>
      <name val="Arial Nova Cond"/>
      <family val="2"/>
    </font>
    <font>
      <b/>
      <sz val="10"/>
      <color rgb="FFFF0000"/>
      <name val="Arial Narrow"/>
      <family val="2"/>
    </font>
    <font>
      <sz val="12"/>
      <name val="Arial Narrow"/>
      <family val="2"/>
    </font>
    <font>
      <b/>
      <sz val="11"/>
      <color theme="9" tint="0.79998168889431442"/>
      <name val="Arial Narrow"/>
      <family val="2"/>
    </font>
    <font>
      <sz val="11"/>
      <color theme="9" tint="0.79998168889431442"/>
      <name val="Arial Narrow"/>
      <family val="2"/>
    </font>
    <font>
      <b/>
      <sz val="10"/>
      <color theme="3" tint="-0.249977111117893"/>
      <name val="Arial Narrow"/>
      <family val="2"/>
    </font>
    <font>
      <b/>
      <sz val="10"/>
      <color theme="1"/>
      <name val="Arial Narrow"/>
      <family val="2"/>
    </font>
    <font>
      <sz val="10"/>
      <color theme="1"/>
      <name val="Arial Narrow"/>
      <family val="2"/>
    </font>
    <font>
      <b/>
      <sz val="10"/>
      <color theme="9" tint="0.39997558519241921"/>
      <name val="Arial Narrow"/>
      <family val="2"/>
    </font>
    <font>
      <sz val="10"/>
      <color theme="9" tint="0.39997558519241921"/>
      <name val="Arial Narrow"/>
      <family val="2"/>
    </font>
    <font>
      <sz val="8"/>
      <color theme="1"/>
      <name val="Arial"/>
      <family val="2"/>
    </font>
    <font>
      <i/>
      <sz val="9"/>
      <color theme="1"/>
      <name val="Arial Narrow"/>
      <family val="2"/>
    </font>
    <font>
      <i/>
      <sz val="10"/>
      <color theme="1"/>
      <name val="Arial Narrow"/>
      <family val="2"/>
    </font>
    <font>
      <b/>
      <sz val="10"/>
      <color theme="9" tint="0.79998168889431442"/>
      <name val="Arial Narrow"/>
      <family val="2"/>
    </font>
    <font>
      <sz val="8"/>
      <color theme="1"/>
      <name val="Calibri"/>
      <family val="2"/>
      <scheme val="minor"/>
    </font>
    <font>
      <sz val="14"/>
      <color theme="1"/>
      <name val="Arial Nova Cond"/>
      <family val="2"/>
    </font>
    <font>
      <b/>
      <sz val="10"/>
      <color theme="1"/>
      <name val="Arial Nova Cond"/>
      <family val="2"/>
    </font>
    <font>
      <b/>
      <sz val="10"/>
      <color theme="0"/>
      <name val="Arial Nova Cond"/>
      <family val="2"/>
    </font>
    <font>
      <b/>
      <sz val="20"/>
      <color theme="1"/>
      <name val="Arial Nova Cond"/>
      <family val="2"/>
    </font>
    <font>
      <sz val="8"/>
      <color theme="1"/>
      <name val="Arial Nova Cond"/>
      <family val="2"/>
    </font>
    <font>
      <b/>
      <i/>
      <sz val="8"/>
      <name val="Arial Narrow"/>
      <family val="2"/>
    </font>
  </fonts>
  <fills count="54">
    <fill>
      <patternFill patternType="none"/>
    </fill>
    <fill>
      <patternFill patternType="gray125"/>
    </fill>
    <fill>
      <patternFill patternType="solid">
        <fgColor rgb="FFD9D9D9"/>
        <bgColor indexed="64"/>
      </patternFill>
    </fill>
    <fill>
      <patternFill patternType="solid">
        <fgColor theme="4" tint="0.59999389629810485"/>
        <bgColor indexed="64"/>
      </patternFill>
    </fill>
    <fill>
      <patternFill patternType="solid">
        <fgColor indexed="41"/>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EFB"/>
        <bgColor indexed="64"/>
      </patternFill>
    </fill>
    <fill>
      <patternFill patternType="solid">
        <fgColor theme="7" tint="0.59999389629810485"/>
        <bgColor indexed="64"/>
      </patternFill>
    </fill>
    <fill>
      <patternFill patternType="solid">
        <fgColor rgb="FFEFF6EA"/>
        <bgColor indexed="64"/>
      </patternFill>
    </fill>
    <fill>
      <patternFill patternType="solid">
        <fgColor rgb="FFEFF6FB"/>
        <bgColor indexed="64"/>
      </patternFill>
    </fill>
    <fill>
      <patternFill patternType="solid">
        <fgColor rgb="FFFFFFFF"/>
        <bgColor indexed="64"/>
      </patternFill>
    </fill>
    <fill>
      <patternFill patternType="solid">
        <fgColor rgb="FFFFFFCC"/>
        <bgColor indexed="64"/>
      </patternFill>
    </fill>
    <fill>
      <patternFill patternType="solid">
        <fgColor rgb="FFD9D9D9"/>
        <bgColor rgb="FFD9D9D9"/>
      </patternFill>
    </fill>
    <fill>
      <patternFill patternType="solid">
        <fgColor rgb="FFCCFFFF"/>
        <bgColor rgb="FFCCFFFF"/>
      </patternFill>
    </fill>
    <fill>
      <patternFill patternType="solid">
        <fgColor rgb="FFD99594"/>
        <bgColor rgb="FFD99594"/>
      </patternFill>
    </fill>
    <fill>
      <patternFill patternType="solid">
        <fgColor rgb="FFC6E0B4"/>
        <bgColor rgb="FFC6E0B4"/>
      </patternFill>
    </fill>
    <fill>
      <patternFill patternType="solid">
        <fgColor theme="0"/>
        <bgColor theme="0"/>
      </patternFill>
    </fill>
    <fill>
      <patternFill patternType="solid">
        <fgColor rgb="FF95B3D7"/>
        <bgColor rgb="FF95B3D7"/>
      </patternFill>
    </fill>
    <fill>
      <patternFill patternType="solid">
        <fgColor rgb="FFFFFFFF"/>
        <bgColor rgb="FFFFFFFF"/>
      </patternFill>
    </fill>
    <fill>
      <patternFill patternType="solid">
        <fgColor theme="4" tint="0.79998168889431442"/>
        <bgColor indexed="64"/>
      </patternFill>
    </fill>
    <fill>
      <patternFill patternType="solid">
        <fgColor rgb="FFFF898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C00"/>
        <bgColor indexed="64"/>
      </patternFill>
    </fill>
    <fill>
      <patternFill patternType="solid">
        <fgColor theme="8" tint="0.79998168889431442"/>
        <bgColor indexed="64"/>
      </patternFill>
    </fill>
    <fill>
      <patternFill patternType="solid">
        <fgColor rgb="FFFF9797"/>
        <bgColor indexed="64"/>
      </patternFill>
    </fill>
    <fill>
      <patternFill patternType="solid">
        <fgColor rgb="FFC00000"/>
        <bgColor indexed="64"/>
      </patternFill>
    </fill>
    <fill>
      <patternFill patternType="solid">
        <fgColor rgb="FFE7FFFF"/>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BD"/>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2" tint="-0.749992370372631"/>
        <bgColor indexed="64"/>
      </patternFill>
    </fill>
    <fill>
      <patternFill patternType="solid">
        <fgColor rgb="FFFFFFCC"/>
      </patternFill>
    </fill>
    <fill>
      <patternFill patternType="solid">
        <fgColor theme="2" tint="-9.9978637043366805E-2"/>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rgb="FFFFF3FF"/>
        <bgColor indexed="64"/>
      </patternFill>
    </fill>
    <fill>
      <patternFill patternType="solid">
        <fgColor theme="5" tint="0.39997558519241921"/>
        <bgColor indexed="64"/>
      </patternFill>
    </fill>
    <fill>
      <patternFill patternType="solid">
        <fgColor theme="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indexed="22"/>
        <bgColor indexed="64"/>
      </patternFill>
    </fill>
  </fills>
  <borders count="1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s>
  <cellStyleXfs count="9">
    <xf numFmtId="0" fontId="0" fillId="0" borderId="0"/>
    <xf numFmtId="166" fontId="1" fillId="0" borderId="0" applyFont="0" applyFill="0" applyBorder="0" applyAlignment="0" applyProtection="0"/>
    <xf numFmtId="165" fontId="1" fillId="0" borderId="0" applyFont="0" applyFill="0" applyBorder="0" applyAlignment="0" applyProtection="0"/>
    <xf numFmtId="0" fontId="7"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43" borderId="133" applyNumberFormat="0" applyFont="0" applyAlignment="0" applyProtection="0"/>
    <xf numFmtId="43" fontId="1" fillId="0" borderId="0" applyFont="0" applyFill="0" applyBorder="0" applyAlignment="0" applyProtection="0"/>
  </cellStyleXfs>
  <cellXfs count="1126">
    <xf numFmtId="0" fontId="0" fillId="0" borderId="0" xfId="0"/>
    <xf numFmtId="0" fontId="2" fillId="0" borderId="20" xfId="0" applyFont="1" applyBorder="1" applyAlignment="1">
      <alignment horizontal="left"/>
    </xf>
    <xf numFmtId="0" fontId="3" fillId="0" borderId="0" xfId="0" applyFont="1"/>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3" xfId="0" applyFont="1" applyBorder="1" applyAlignment="1">
      <alignment horizontal="center" vertical="center" wrapText="1"/>
    </xf>
    <xf numFmtId="0" fontId="5" fillId="0" borderId="0" xfId="0" applyFont="1"/>
    <xf numFmtId="0" fontId="4" fillId="0" borderId="29" xfId="0" applyFont="1" applyBorder="1" applyAlignment="1">
      <alignment horizontal="left"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34" xfId="0" applyFont="1" applyBorder="1"/>
    <xf numFmtId="0" fontId="5" fillId="0" borderId="22"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5" fillId="0" borderId="34" xfId="0" applyFont="1" applyBorder="1" applyAlignment="1">
      <alignment horizontal="left" indent="1"/>
    </xf>
    <xf numFmtId="0" fontId="5" fillId="0" borderId="39" xfId="0" applyFont="1" applyBorder="1" applyAlignment="1">
      <alignment horizontal="center"/>
    </xf>
    <xf numFmtId="168" fontId="5" fillId="0" borderId="39" xfId="0" applyNumberFormat="1" applyFont="1" applyBorder="1"/>
    <xf numFmtId="168" fontId="5" fillId="0" borderId="40" xfId="0" applyNumberFormat="1" applyFont="1" applyBorder="1"/>
    <xf numFmtId="168" fontId="5" fillId="0" borderId="41" xfId="0" applyNumberFormat="1" applyFont="1" applyBorder="1"/>
    <xf numFmtId="168" fontId="5" fillId="0" borderId="42" xfId="0" applyNumberFormat="1" applyFont="1" applyBorder="1"/>
    <xf numFmtId="168" fontId="5" fillId="0" borderId="0" xfId="0" applyNumberFormat="1" applyFont="1"/>
    <xf numFmtId="167" fontId="5" fillId="0" borderId="37" xfId="0" applyNumberFormat="1" applyFont="1" applyBorder="1"/>
    <xf numFmtId="167" fontId="5" fillId="0" borderId="38" xfId="0" applyNumberFormat="1" applyFont="1" applyBorder="1"/>
    <xf numFmtId="168" fontId="5" fillId="0" borderId="37" xfId="0" applyNumberFormat="1" applyFont="1" applyBorder="1"/>
    <xf numFmtId="168" fontId="5" fillId="0" borderId="34" xfId="0" applyNumberFormat="1" applyFont="1" applyBorder="1"/>
    <xf numFmtId="168" fontId="5" fillId="5" borderId="39" xfId="0" applyNumberFormat="1" applyFont="1" applyFill="1" applyBorder="1" applyProtection="1">
      <protection locked="0"/>
    </xf>
    <xf numFmtId="168" fontId="5" fillId="5" borderId="37" xfId="0" applyNumberFormat="1" applyFont="1" applyFill="1" applyBorder="1" applyProtection="1">
      <protection locked="0"/>
    </xf>
    <xf numFmtId="168" fontId="5" fillId="5" borderId="34" xfId="0" applyNumberFormat="1" applyFont="1" applyFill="1" applyBorder="1" applyProtection="1">
      <protection locked="0"/>
    </xf>
    <xf numFmtId="168" fontId="5" fillId="5" borderId="0" xfId="0" applyNumberFormat="1" applyFont="1" applyFill="1" applyProtection="1">
      <protection locked="0"/>
    </xf>
    <xf numFmtId="168" fontId="5" fillId="5" borderId="41" xfId="0" applyNumberFormat="1" applyFont="1" applyFill="1" applyBorder="1" applyProtection="1">
      <protection locked="0"/>
    </xf>
    <xf numFmtId="168" fontId="5" fillId="5" borderId="42" xfId="0" applyNumberFormat="1" applyFont="1" applyFill="1" applyBorder="1" applyProtection="1">
      <protection locked="0"/>
    </xf>
    <xf numFmtId="168" fontId="5" fillId="5" borderId="43" xfId="0" applyNumberFormat="1" applyFont="1" applyFill="1" applyBorder="1" applyProtection="1">
      <protection locked="0"/>
    </xf>
    <xf numFmtId="168" fontId="5" fillId="5" borderId="40" xfId="0" applyNumberFormat="1" applyFont="1" applyFill="1" applyBorder="1" applyProtection="1">
      <protection locked="0"/>
    </xf>
    <xf numFmtId="168" fontId="5" fillId="5" borderId="39" xfId="1" applyNumberFormat="1" applyFont="1" applyFill="1" applyBorder="1" applyProtection="1">
      <protection locked="0"/>
    </xf>
    <xf numFmtId="168" fontId="5" fillId="5" borderId="42" xfId="1" applyNumberFormat="1" applyFont="1" applyFill="1" applyBorder="1" applyProtection="1">
      <protection locked="0"/>
    </xf>
    <xf numFmtId="168" fontId="5" fillId="5" borderId="43" xfId="1" applyNumberFormat="1" applyFont="1" applyFill="1" applyBorder="1" applyProtection="1">
      <protection locked="0"/>
    </xf>
    <xf numFmtId="168" fontId="5" fillId="5" borderId="37" xfId="1" applyNumberFormat="1" applyFont="1" applyFill="1" applyBorder="1" applyProtection="1">
      <protection locked="0"/>
    </xf>
    <xf numFmtId="168" fontId="5" fillId="0" borderId="43" xfId="0" applyNumberFormat="1" applyFont="1" applyBorder="1"/>
    <xf numFmtId="167" fontId="4" fillId="0" borderId="28" xfId="0" applyNumberFormat="1" applyFont="1" applyBorder="1" applyAlignment="1">
      <alignment vertical="center"/>
    </xf>
    <xf numFmtId="167" fontId="4" fillId="0" borderId="8" xfId="0" applyNumberFormat="1" applyFont="1" applyBorder="1" applyAlignment="1">
      <alignment vertical="center"/>
    </xf>
    <xf numFmtId="0" fontId="5" fillId="0" borderId="0" xfId="0" applyFont="1" applyAlignment="1">
      <alignment vertical="center"/>
    </xf>
    <xf numFmtId="0" fontId="5" fillId="0" borderId="34" xfId="0" applyFont="1" applyBorder="1"/>
    <xf numFmtId="0" fontId="8" fillId="0" borderId="39" xfId="0" applyFont="1" applyBorder="1" applyAlignment="1">
      <alignment horizontal="center"/>
    </xf>
    <xf numFmtId="168" fontId="5" fillId="5" borderId="34" xfId="1" applyNumberFormat="1" applyFont="1" applyFill="1" applyBorder="1" applyProtection="1">
      <protection locked="0"/>
    </xf>
    <xf numFmtId="168" fontId="5" fillId="5" borderId="0" xfId="1" applyNumberFormat="1" applyFont="1" applyFill="1" applyBorder="1" applyProtection="1">
      <protection locked="0"/>
    </xf>
    <xf numFmtId="168" fontId="5" fillId="5" borderId="41" xfId="1" applyNumberFormat="1" applyFont="1" applyFill="1" applyBorder="1" applyProtection="1">
      <protection locked="0"/>
    </xf>
    <xf numFmtId="167" fontId="4" fillId="0" borderId="28" xfId="0" applyNumberFormat="1" applyFont="1" applyBorder="1"/>
    <xf numFmtId="167" fontId="4" fillId="0" borderId="8" xfId="0" applyNumberFormat="1" applyFont="1" applyBorder="1"/>
    <xf numFmtId="168" fontId="4" fillId="0" borderId="48" xfId="0" applyNumberFormat="1" applyFont="1" applyBorder="1"/>
    <xf numFmtId="168" fontId="4" fillId="0" borderId="49" xfId="0" applyNumberFormat="1" applyFont="1" applyBorder="1"/>
    <xf numFmtId="168" fontId="4" fillId="0" borderId="50" xfId="0" applyNumberFormat="1" applyFont="1" applyBorder="1"/>
    <xf numFmtId="168" fontId="4" fillId="0" borderId="51" xfId="0" applyNumberFormat="1" applyFont="1" applyBorder="1"/>
    <xf numFmtId="167" fontId="4" fillId="0" borderId="37" xfId="0" applyNumberFormat="1" applyFont="1" applyBorder="1"/>
    <xf numFmtId="167" fontId="4" fillId="0" borderId="38" xfId="0" applyNumberFormat="1" applyFont="1" applyBorder="1"/>
    <xf numFmtId="0" fontId="4" fillId="0" borderId="34" xfId="0" applyFont="1" applyBorder="1"/>
    <xf numFmtId="168" fontId="4" fillId="0" borderId="39" xfId="0" applyNumberFormat="1" applyFont="1" applyBorder="1"/>
    <xf numFmtId="168" fontId="4" fillId="0" borderId="37" xfId="0" applyNumberFormat="1" applyFont="1" applyBorder="1"/>
    <xf numFmtId="168" fontId="4" fillId="0" borderId="34" xfId="0" applyNumberFormat="1" applyFont="1" applyBorder="1"/>
    <xf numFmtId="168" fontId="4" fillId="0" borderId="41" xfId="0" applyNumberFormat="1" applyFont="1" applyBorder="1"/>
    <xf numFmtId="0" fontId="5" fillId="0" borderId="34" xfId="0" applyFont="1" applyBorder="1" applyAlignment="1">
      <alignment horizontal="left" vertical="center" wrapText="1" indent="1"/>
    </xf>
    <xf numFmtId="0" fontId="5" fillId="0" borderId="39" xfId="0" applyFont="1" applyBorder="1" applyAlignment="1">
      <alignment horizontal="center" vertical="center"/>
    </xf>
    <xf numFmtId="168" fontId="5" fillId="5" borderId="39" xfId="0" applyNumberFormat="1" applyFont="1" applyFill="1" applyBorder="1" applyAlignment="1" applyProtection="1">
      <alignment vertical="center"/>
      <protection locked="0"/>
    </xf>
    <xf numFmtId="168" fontId="5" fillId="5" borderId="41" xfId="0" applyNumberFormat="1" applyFont="1" applyFill="1" applyBorder="1" applyAlignment="1" applyProtection="1">
      <alignment vertical="center"/>
      <protection locked="0"/>
    </xf>
    <xf numFmtId="168" fontId="5" fillId="0" borderId="37" xfId="0" applyNumberFormat="1" applyFont="1" applyBorder="1" applyAlignment="1">
      <alignment vertical="center"/>
    </xf>
    <xf numFmtId="0" fontId="5" fillId="0" borderId="34" xfId="0" applyFont="1" applyBorder="1" applyAlignment="1">
      <alignment horizontal="left" wrapText="1" indent="1"/>
    </xf>
    <xf numFmtId="167" fontId="4" fillId="0" borderId="56" xfId="0" applyNumberFormat="1" applyFont="1" applyBorder="1"/>
    <xf numFmtId="0" fontId="9" fillId="0" borderId="0" xfId="0" applyFont="1"/>
    <xf numFmtId="0" fontId="5" fillId="0" borderId="0" xfId="0" applyFont="1" applyAlignment="1">
      <alignment horizontal="center"/>
    </xf>
    <xf numFmtId="167" fontId="4" fillId="0" borderId="0" xfId="0" applyNumberFormat="1" applyFont="1"/>
    <xf numFmtId="0" fontId="10" fillId="0" borderId="0" xfId="0" applyFont="1"/>
    <xf numFmtId="0" fontId="4" fillId="0" borderId="0" xfId="0" applyFont="1"/>
    <xf numFmtId="168" fontId="4" fillId="0" borderId="45" xfId="0" applyNumberFormat="1" applyFont="1" applyBorder="1"/>
    <xf numFmtId="0" fontId="5" fillId="0" borderId="19" xfId="0" applyFont="1" applyBorder="1" applyAlignment="1">
      <alignment horizontal="left" indent="1"/>
    </xf>
    <xf numFmtId="0" fontId="5" fillId="0" borderId="9" xfId="0" applyFont="1" applyBorder="1" applyAlignment="1">
      <alignment horizontal="left" indent="1"/>
    </xf>
    <xf numFmtId="0" fontId="4" fillId="0" borderId="24" xfId="0" applyFont="1" applyBorder="1" applyAlignment="1">
      <alignment horizontal="center" vertical="center" wrapText="1"/>
    </xf>
    <xf numFmtId="49" fontId="4" fillId="0" borderId="33" xfId="0" applyNumberFormat="1" applyFont="1" applyBorder="1" applyAlignment="1">
      <alignment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72" xfId="0" applyFont="1" applyBorder="1" applyAlignment="1">
      <alignment horizontal="center" vertical="center" wrapText="1"/>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4" fillId="0" borderId="32" xfId="0" applyNumberFormat="1" applyFont="1" applyBorder="1" applyAlignment="1">
      <alignment horizontal="center"/>
    </xf>
    <xf numFmtId="0" fontId="5" fillId="0" borderId="21" xfId="0" applyFont="1" applyBorder="1" applyAlignment="1">
      <alignment horizontal="center"/>
    </xf>
    <xf numFmtId="168" fontId="4" fillId="0" borderId="73" xfId="0" applyNumberFormat="1" applyFont="1" applyBorder="1" applyAlignment="1">
      <alignment horizontal="center"/>
    </xf>
    <xf numFmtId="168" fontId="4" fillId="0" borderId="74" xfId="0" applyNumberFormat="1" applyFont="1" applyBorder="1"/>
    <xf numFmtId="0" fontId="4" fillId="0" borderId="34" xfId="0" applyFont="1" applyBorder="1" applyAlignment="1">
      <alignment horizontal="left"/>
    </xf>
    <xf numFmtId="168" fontId="5" fillId="5" borderId="42" xfId="0" applyNumberFormat="1" applyFont="1" applyFill="1" applyBorder="1" applyAlignment="1" applyProtection="1">
      <alignment vertical="center"/>
      <protection locked="0"/>
    </xf>
    <xf numFmtId="0" fontId="4" fillId="0" borderId="44" xfId="0" applyFont="1" applyBorder="1"/>
    <xf numFmtId="168" fontId="4" fillId="0" borderId="47" xfId="0" applyNumberFormat="1" applyFont="1" applyBorder="1"/>
    <xf numFmtId="168" fontId="4" fillId="0" borderId="46" xfId="0" applyNumberFormat="1" applyFont="1" applyBorder="1"/>
    <xf numFmtId="168" fontId="4" fillId="0" borderId="75" xfId="0" applyNumberFormat="1" applyFont="1" applyBorder="1"/>
    <xf numFmtId="168" fontId="5" fillId="0" borderId="41" xfId="1" applyNumberFormat="1" applyFont="1" applyFill="1" applyBorder="1"/>
    <xf numFmtId="0" fontId="4" fillId="0" borderId="76" xfId="0" applyFont="1" applyBorder="1" applyAlignment="1">
      <alignment vertical="center" wrapText="1"/>
    </xf>
    <xf numFmtId="168" fontId="4" fillId="0" borderId="77" xfId="0" applyNumberFormat="1" applyFont="1" applyBorder="1" applyAlignment="1">
      <alignment vertical="center"/>
    </xf>
    <xf numFmtId="168" fontId="4" fillId="0" borderId="78" xfId="0" applyNumberFormat="1" applyFont="1" applyBorder="1" applyAlignment="1">
      <alignment vertical="center"/>
    </xf>
    <xf numFmtId="168" fontId="4" fillId="0" borderId="79" xfId="0" applyNumberFormat="1" applyFont="1" applyBorder="1" applyAlignment="1">
      <alignment vertical="center"/>
    </xf>
    <xf numFmtId="168" fontId="4" fillId="0" borderId="80" xfId="0" applyNumberFormat="1" applyFont="1" applyBorder="1" applyAlignment="1">
      <alignment vertical="center"/>
    </xf>
    <xf numFmtId="168" fontId="5" fillId="5" borderId="50" xfId="0" applyNumberFormat="1" applyFont="1" applyFill="1" applyBorder="1" applyProtection="1">
      <protection locked="0"/>
    </xf>
    <xf numFmtId="168" fontId="5" fillId="0" borderId="48" xfId="0" applyNumberFormat="1" applyFont="1" applyBorder="1"/>
    <xf numFmtId="168" fontId="5" fillId="0" borderId="49" xfId="0" applyNumberFormat="1" applyFont="1" applyBorder="1"/>
    <xf numFmtId="168" fontId="5" fillId="0" borderId="51" xfId="0" applyNumberFormat="1" applyFont="1" applyBorder="1"/>
    <xf numFmtId="168" fontId="5" fillId="0" borderId="74" xfId="0" applyNumberFormat="1" applyFont="1" applyBorder="1"/>
    <xf numFmtId="0" fontId="5" fillId="0" borderId="59" xfId="0" applyFont="1" applyBorder="1"/>
    <xf numFmtId="168" fontId="5" fillId="0" borderId="29" xfId="0" applyNumberFormat="1" applyFont="1" applyBorder="1"/>
    <xf numFmtId="168" fontId="5" fillId="0" borderId="30" xfId="0" applyNumberFormat="1" applyFont="1" applyBorder="1"/>
    <xf numFmtId="168" fontId="5" fillId="0" borderId="31" xfId="0" applyNumberFormat="1" applyFont="1" applyBorder="1"/>
    <xf numFmtId="168" fontId="5" fillId="0" borderId="81" xfId="0" applyNumberFormat="1" applyFont="1" applyBorder="1"/>
    <xf numFmtId="168" fontId="5" fillId="0" borderId="82" xfId="0" applyNumberFormat="1" applyFont="1" applyBorder="1"/>
    <xf numFmtId="0" fontId="9" fillId="0" borderId="0" xfId="0" applyFont="1" applyAlignment="1">
      <alignment horizontal="left"/>
    </xf>
    <xf numFmtId="0" fontId="4" fillId="0" borderId="30" xfId="0" applyFont="1" applyBorder="1" applyAlignment="1">
      <alignment vertical="center"/>
    </xf>
    <xf numFmtId="0" fontId="4" fillId="0" borderId="54" xfId="0" applyFont="1" applyBorder="1" applyAlignment="1">
      <alignment horizontal="center" vertical="center" wrapText="1"/>
    </xf>
    <xf numFmtId="168" fontId="5" fillId="5" borderId="78" xfId="0" applyNumberFormat="1" applyFont="1" applyFill="1" applyBorder="1" applyProtection="1">
      <protection locked="0"/>
    </xf>
    <xf numFmtId="168" fontId="5" fillId="5" borderId="80" xfId="0" applyNumberFormat="1" applyFont="1" applyFill="1" applyBorder="1" applyProtection="1">
      <protection locked="0"/>
    </xf>
    <xf numFmtId="168" fontId="5" fillId="5" borderId="77" xfId="0" applyNumberFormat="1" applyFont="1" applyFill="1" applyBorder="1" applyProtection="1">
      <protection locked="0"/>
    </xf>
    <xf numFmtId="168" fontId="5" fillId="5" borderId="79" xfId="0" applyNumberFormat="1" applyFont="1" applyFill="1" applyBorder="1" applyProtection="1">
      <protection locked="0"/>
    </xf>
    <xf numFmtId="168" fontId="5" fillId="0" borderId="77" xfId="0" applyNumberFormat="1" applyFont="1" applyBorder="1"/>
    <xf numFmtId="168" fontId="5" fillId="0" borderId="78" xfId="0" applyNumberFormat="1" applyFont="1" applyBorder="1"/>
    <xf numFmtId="168" fontId="5" fillId="0" borderId="80" xfId="0" applyNumberFormat="1" applyFont="1" applyBorder="1"/>
    <xf numFmtId="0" fontId="5" fillId="0" borderId="45" xfId="0" applyFont="1" applyBorder="1" applyAlignment="1">
      <alignment horizontal="center"/>
    </xf>
    <xf numFmtId="168" fontId="4" fillId="0" borderId="44" xfId="0" applyNumberFormat="1" applyFont="1" applyBorder="1"/>
    <xf numFmtId="168" fontId="4" fillId="0" borderId="83" xfId="0" applyNumberFormat="1" applyFont="1" applyBorder="1"/>
    <xf numFmtId="168" fontId="4" fillId="0" borderId="0" xfId="0" applyNumberFormat="1" applyFont="1"/>
    <xf numFmtId="168" fontId="4" fillId="0" borderId="42" xfId="0" applyNumberFormat="1" applyFont="1" applyBorder="1"/>
    <xf numFmtId="168" fontId="5" fillId="0" borderId="41" xfId="1" applyNumberFormat="1" applyFont="1" applyFill="1" applyBorder="1" applyProtection="1"/>
    <xf numFmtId="168" fontId="5" fillId="0" borderId="39" xfId="1" applyNumberFormat="1" applyFont="1" applyFill="1" applyBorder="1" applyProtection="1"/>
    <xf numFmtId="168" fontId="5" fillId="0" borderId="42" xfId="1" applyNumberFormat="1" applyFont="1" applyFill="1" applyBorder="1" applyProtection="1"/>
    <xf numFmtId="168" fontId="5" fillId="0" borderId="39" xfId="0" applyNumberFormat="1" applyFont="1" applyBorder="1" applyProtection="1">
      <protection locked="0"/>
    </xf>
    <xf numFmtId="168" fontId="5" fillId="0" borderId="37" xfId="0" applyNumberFormat="1" applyFont="1" applyBorder="1" applyProtection="1">
      <protection locked="0"/>
    </xf>
    <xf numFmtId="168" fontId="5" fillId="0" borderId="34" xfId="0" applyNumberFormat="1" applyFont="1" applyBorder="1" applyProtection="1">
      <protection locked="0"/>
    </xf>
    <xf numFmtId="168" fontId="5" fillId="0" borderId="0" xfId="0" applyNumberFormat="1" applyFont="1" applyProtection="1">
      <protection locked="0"/>
    </xf>
    <xf numFmtId="168" fontId="4" fillId="5" borderId="39" xfId="0" applyNumberFormat="1" applyFont="1" applyFill="1" applyBorder="1" applyProtection="1">
      <protection locked="0"/>
    </xf>
    <xf numFmtId="0" fontId="5" fillId="0" borderId="29" xfId="0" applyFont="1" applyBorder="1" applyAlignment="1">
      <alignment horizontal="left" indent="1"/>
    </xf>
    <xf numFmtId="0" fontId="5" fillId="0" borderId="30" xfId="0" applyFont="1" applyBorder="1" applyAlignment="1">
      <alignment horizontal="center"/>
    </xf>
    <xf numFmtId="168" fontId="4" fillId="0" borderId="30" xfId="0" applyNumberFormat="1" applyFont="1" applyBorder="1"/>
    <xf numFmtId="168" fontId="4" fillId="0" borderId="31" xfId="0" applyNumberFormat="1" applyFont="1" applyBorder="1"/>
    <xf numFmtId="168" fontId="4" fillId="0" borderId="29" xfId="0" applyNumberFormat="1" applyFont="1" applyBorder="1"/>
    <xf numFmtId="168" fontId="4" fillId="0" borderId="20" xfId="0" applyNumberFormat="1" applyFont="1" applyBorder="1"/>
    <xf numFmtId="168" fontId="4" fillId="0" borderId="81" xfId="0" applyNumberFormat="1" applyFont="1" applyBorder="1"/>
    <xf numFmtId="168" fontId="4" fillId="0" borderId="82" xfId="0" applyNumberFormat="1" applyFont="1" applyBorder="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right"/>
    </xf>
    <xf numFmtId="167" fontId="5" fillId="0" borderId="0" xfId="0" applyNumberFormat="1" applyFont="1"/>
    <xf numFmtId="169" fontId="5" fillId="0" borderId="0" xfId="1" applyNumberFormat="1" applyFont="1" applyProtection="1"/>
    <xf numFmtId="0" fontId="0" fillId="0" borderId="84" xfId="0" applyBorder="1"/>
    <xf numFmtId="0" fontId="0" fillId="0" borderId="85" xfId="0" applyBorder="1"/>
    <xf numFmtId="0" fontId="16" fillId="2" borderId="86" xfId="0" applyFont="1" applyFill="1" applyBorder="1" applyAlignment="1">
      <alignment horizontal="center" vertical="center" wrapText="1"/>
    </xf>
    <xf numFmtId="0" fontId="18" fillId="9" borderId="12" xfId="0" applyFont="1" applyFill="1" applyBorder="1" applyAlignment="1">
      <alignment horizontal="left" vertical="center" wrapText="1"/>
    </xf>
    <xf numFmtId="0" fontId="18" fillId="10" borderId="13" xfId="0" applyFont="1" applyFill="1" applyBorder="1" applyAlignment="1">
      <alignment horizontal="left" vertical="center" wrapText="1"/>
    </xf>
    <xf numFmtId="0" fontId="18" fillId="9" borderId="8" xfId="0" applyFont="1" applyFill="1" applyBorder="1" applyAlignment="1">
      <alignment vertical="center" wrapText="1"/>
    </xf>
    <xf numFmtId="0" fontId="18" fillId="10" borderId="15" xfId="0" applyFont="1" applyFill="1" applyBorder="1" applyAlignment="1">
      <alignment horizontal="left" vertical="center" wrapText="1"/>
    </xf>
    <xf numFmtId="0" fontId="18" fillId="9" borderId="17" xfId="0" applyFont="1" applyFill="1" applyBorder="1" applyAlignment="1">
      <alignment horizontal="left" vertical="center" wrapText="1"/>
    </xf>
    <xf numFmtId="0" fontId="18" fillId="10" borderId="18" xfId="0" applyFont="1" applyFill="1" applyBorder="1" applyAlignment="1">
      <alignment horizontal="left" vertical="center" wrapText="1"/>
    </xf>
    <xf numFmtId="0" fontId="18" fillId="12" borderId="8" xfId="0" applyFont="1" applyFill="1" applyBorder="1" applyAlignment="1">
      <alignment horizontal="center" vertical="center" wrapText="1"/>
    </xf>
    <xf numFmtId="0" fontId="18" fillId="12" borderId="8" xfId="0" applyFont="1" applyFill="1" applyBorder="1" applyAlignment="1">
      <alignment horizontal="left" vertical="center" wrapText="1"/>
    </xf>
    <xf numFmtId="9" fontId="18" fillId="12" borderId="8" xfId="0" applyNumberFormat="1" applyFont="1" applyFill="1" applyBorder="1" applyAlignment="1">
      <alignment horizontal="center" vertical="center" wrapText="1"/>
    </xf>
    <xf numFmtId="0" fontId="19" fillId="9" borderId="17" xfId="0" applyFont="1" applyFill="1" applyBorder="1" applyAlignment="1">
      <alignment horizontal="center" vertical="center" wrapText="1"/>
    </xf>
    <xf numFmtId="0" fontId="19" fillId="9" borderId="17" xfId="0" applyFont="1" applyFill="1" applyBorder="1" applyAlignment="1">
      <alignment horizontal="left" vertical="center" wrapText="1"/>
    </xf>
    <xf numFmtId="0" fontId="19" fillId="9" borderId="17" xfId="0" applyFont="1" applyFill="1" applyBorder="1" applyAlignment="1">
      <alignment horizontal="center" vertical="center"/>
    </xf>
    <xf numFmtId="0" fontId="19" fillId="11" borderId="12" xfId="0" applyFont="1" applyFill="1" applyBorder="1" applyAlignment="1">
      <alignment horizontal="center" vertical="center" wrapText="1"/>
    </xf>
    <xf numFmtId="0" fontId="19" fillId="11" borderId="12" xfId="0" applyFont="1" applyFill="1" applyBorder="1" applyAlignment="1">
      <alignment horizontal="left" vertical="center" wrapText="1"/>
    </xf>
    <xf numFmtId="0" fontId="19" fillId="11" borderId="12" xfId="0" applyFont="1" applyFill="1" applyBorder="1" applyAlignment="1">
      <alignment horizontal="center" vertical="center"/>
    </xf>
    <xf numFmtId="0" fontId="19" fillId="11" borderId="17" xfId="0" applyFont="1" applyFill="1" applyBorder="1" applyAlignment="1">
      <alignment horizontal="center" vertical="center" wrapText="1"/>
    </xf>
    <xf numFmtId="0" fontId="19" fillId="11" borderId="17" xfId="0" applyFont="1" applyFill="1" applyBorder="1" applyAlignment="1">
      <alignment horizontal="left" vertical="center" wrapText="1"/>
    </xf>
    <xf numFmtId="0" fontId="19" fillId="11" borderId="17" xfId="0" applyFont="1" applyFill="1" applyBorder="1" applyAlignment="1">
      <alignment horizontal="center" vertical="center"/>
    </xf>
    <xf numFmtId="0" fontId="0" fillId="0" borderId="65" xfId="0" applyBorder="1"/>
    <xf numFmtId="0" fontId="19" fillId="12" borderId="11"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19" fillId="12" borderId="12" xfId="0" applyFont="1" applyFill="1" applyBorder="1" applyAlignment="1">
      <alignment horizontal="left" vertical="center" wrapText="1"/>
    </xf>
    <xf numFmtId="0" fontId="19" fillId="12" borderId="16" xfId="0" applyFont="1" applyFill="1" applyBorder="1" applyAlignment="1">
      <alignment horizontal="center" vertical="center" wrapText="1"/>
    </xf>
    <xf numFmtId="0" fontId="19" fillId="12" borderId="17" xfId="0" applyFont="1" applyFill="1" applyBorder="1" applyAlignment="1">
      <alignment horizontal="center" vertical="center" wrapText="1"/>
    </xf>
    <xf numFmtId="0" fontId="19" fillId="12" borderId="17" xfId="0" applyFont="1" applyFill="1" applyBorder="1" applyAlignment="1">
      <alignment horizontal="center" vertical="center"/>
    </xf>
    <xf numFmtId="0" fontId="19" fillId="12" borderId="17" xfId="0" applyFont="1" applyFill="1" applyBorder="1" applyAlignment="1">
      <alignment horizontal="left" vertical="center" wrapText="1"/>
    </xf>
    <xf numFmtId="0" fontId="19" fillId="13" borderId="11" xfId="0" applyFont="1" applyFill="1" applyBorder="1" applyAlignment="1">
      <alignment horizontal="center" vertical="center" wrapText="1"/>
    </xf>
    <xf numFmtId="0" fontId="19" fillId="13" borderId="12" xfId="0" applyFont="1" applyFill="1" applyBorder="1" applyAlignment="1">
      <alignment horizontal="center" vertical="center" wrapText="1"/>
    </xf>
    <xf numFmtId="0" fontId="19" fillId="13" borderId="12" xfId="0" applyFont="1" applyFill="1" applyBorder="1" applyAlignment="1">
      <alignment horizontal="left" vertical="center" wrapText="1"/>
    </xf>
    <xf numFmtId="0" fontId="19" fillId="13" borderId="16" xfId="0" applyFont="1" applyFill="1" applyBorder="1" applyAlignment="1">
      <alignment horizontal="center" vertical="center" wrapText="1"/>
    </xf>
    <xf numFmtId="0" fontId="19" fillId="13" borderId="17" xfId="0" applyFont="1" applyFill="1" applyBorder="1" applyAlignment="1">
      <alignment horizontal="center" vertical="center" wrapText="1"/>
    </xf>
    <xf numFmtId="0" fontId="19" fillId="13" borderId="17" xfId="0" applyFont="1" applyFill="1" applyBorder="1" applyAlignment="1">
      <alignment horizontal="left" vertical="center" wrapText="1"/>
    </xf>
    <xf numFmtId="0" fontId="19" fillId="13" borderId="17" xfId="0" applyFont="1" applyFill="1" applyBorder="1" applyAlignment="1">
      <alignment horizontal="center" vertical="center"/>
    </xf>
    <xf numFmtId="0" fontId="0" fillId="0" borderId="0" xfId="0" applyAlignment="1">
      <alignment vertical="center"/>
    </xf>
    <xf numFmtId="0" fontId="11" fillId="0" borderId="0" xfId="0" applyFont="1" applyAlignment="1">
      <alignment horizontal="left" vertical="top"/>
    </xf>
    <xf numFmtId="0" fontId="4" fillId="0" borderId="100" xfId="0" applyFont="1" applyBorder="1"/>
    <xf numFmtId="0" fontId="5" fillId="0" borderId="101" xfId="0" applyFont="1" applyBorder="1" applyAlignment="1">
      <alignment horizontal="center"/>
    </xf>
    <xf numFmtId="168" fontId="4" fillId="0" borderId="55" xfId="0" applyNumberFormat="1" applyFont="1" applyBorder="1"/>
    <xf numFmtId="171" fontId="21" fillId="0" borderId="0" xfId="0" applyNumberFormat="1" applyFont="1"/>
    <xf numFmtId="171" fontId="23" fillId="15" borderId="0" xfId="0" applyNumberFormat="1" applyFont="1" applyFill="1"/>
    <xf numFmtId="3" fontId="23" fillId="15" borderId="0" xfId="0" applyNumberFormat="1" applyFont="1" applyFill="1"/>
    <xf numFmtId="171" fontId="25" fillId="0" borderId="102" xfId="0" applyNumberFormat="1" applyFont="1" applyBorder="1"/>
    <xf numFmtId="172" fontId="25" fillId="0" borderId="103" xfId="0" applyNumberFormat="1" applyFont="1" applyBorder="1"/>
    <xf numFmtId="0" fontId="25" fillId="0" borderId="103" xfId="0" applyFont="1" applyBorder="1"/>
    <xf numFmtId="0" fontId="26" fillId="0" borderId="103" xfId="0" applyFont="1" applyBorder="1" applyAlignment="1">
      <alignment horizontal="center"/>
    </xf>
    <xf numFmtId="171" fontId="25" fillId="0" borderId="104" xfId="0" applyNumberFormat="1" applyFont="1" applyBorder="1"/>
    <xf numFmtId="171" fontId="25" fillId="0" borderId="105" xfId="0" applyNumberFormat="1" applyFont="1" applyBorder="1"/>
    <xf numFmtId="172" fontId="25" fillId="0" borderId="0" xfId="0" applyNumberFormat="1" applyFont="1" applyAlignment="1">
      <alignment horizontal="center"/>
    </xf>
    <xf numFmtId="0" fontId="26" fillId="0" borderId="0" xfId="0" applyFont="1"/>
    <xf numFmtId="0" fontId="26" fillId="0" borderId="0" xfId="0" applyFont="1" applyAlignment="1">
      <alignment horizontal="center"/>
    </xf>
    <xf numFmtId="171" fontId="25" fillId="0" borderId="106" xfId="0" applyNumberFormat="1" applyFont="1" applyBorder="1"/>
    <xf numFmtId="1" fontId="27" fillId="15" borderId="0" xfId="0" applyNumberFormat="1" applyFont="1" applyFill="1" applyAlignment="1">
      <alignment horizontal="center"/>
    </xf>
    <xf numFmtId="3" fontId="27" fillId="15" borderId="0" xfId="0" applyNumberFormat="1" applyFont="1" applyFill="1" applyAlignment="1">
      <alignment horizontal="center"/>
    </xf>
    <xf numFmtId="172" fontId="26" fillId="0" borderId="0" xfId="0" applyNumberFormat="1" applyFont="1" applyAlignment="1">
      <alignment horizontal="center"/>
    </xf>
    <xf numFmtId="1" fontId="26" fillId="16" borderId="0" xfId="0" applyNumberFormat="1" applyFont="1" applyFill="1" applyAlignment="1">
      <alignment horizontal="center"/>
    </xf>
    <xf numFmtId="1" fontId="26" fillId="0" borderId="0" xfId="0" applyNumberFormat="1" applyFont="1" applyAlignment="1">
      <alignment horizontal="center"/>
    </xf>
    <xf numFmtId="1" fontId="26" fillId="0" borderId="0" xfId="0" quotePrefix="1" applyNumberFormat="1" applyFont="1" applyAlignment="1">
      <alignment horizontal="center"/>
    </xf>
    <xf numFmtId="172" fontId="25" fillId="0" borderId="0" xfId="0" applyNumberFormat="1" applyFont="1"/>
    <xf numFmtId="172" fontId="26" fillId="16" borderId="0" xfId="0" applyNumberFormat="1" applyFont="1" applyFill="1" applyAlignment="1">
      <alignment horizontal="center"/>
    </xf>
    <xf numFmtId="169" fontId="26" fillId="0" borderId="0" xfId="0" applyNumberFormat="1" applyFont="1"/>
    <xf numFmtId="172" fontId="23" fillId="15" borderId="0" xfId="0" applyNumberFormat="1" applyFont="1" applyFill="1"/>
    <xf numFmtId="172" fontId="25" fillId="16" borderId="0" xfId="0" applyNumberFormat="1" applyFont="1" applyFill="1"/>
    <xf numFmtId="169" fontId="28" fillId="0" borderId="0" xfId="0" applyNumberFormat="1" applyFont="1"/>
    <xf numFmtId="172" fontId="26" fillId="0" borderId="107" xfId="0" applyNumberFormat="1" applyFont="1" applyBorder="1"/>
    <xf numFmtId="43" fontId="27" fillId="15" borderId="107" xfId="0" applyNumberFormat="1" applyFont="1" applyFill="1" applyBorder="1"/>
    <xf numFmtId="43" fontId="23" fillId="15" borderId="0" xfId="0" applyNumberFormat="1" applyFont="1" applyFill="1"/>
    <xf numFmtId="41" fontId="25" fillId="0" borderId="0" xfId="0" applyNumberFormat="1" applyFont="1"/>
    <xf numFmtId="169" fontId="29" fillId="0" borderId="0" xfId="0" applyNumberFormat="1" applyFont="1"/>
    <xf numFmtId="49" fontId="26" fillId="0" borderId="0" xfId="0" applyNumberFormat="1" applyFont="1" applyAlignment="1">
      <alignment horizontal="center"/>
    </xf>
    <xf numFmtId="41" fontId="25" fillId="0" borderId="108" xfId="0" applyNumberFormat="1" applyFont="1" applyBorder="1"/>
    <xf numFmtId="43" fontId="23" fillId="15" borderId="108" xfId="0" applyNumberFormat="1" applyFont="1" applyFill="1" applyBorder="1"/>
    <xf numFmtId="41" fontId="25" fillId="0" borderId="109" xfId="0" applyNumberFormat="1" applyFont="1" applyBorder="1"/>
    <xf numFmtId="43" fontId="23" fillId="15" borderId="109" xfId="0" applyNumberFormat="1" applyFont="1" applyFill="1" applyBorder="1"/>
    <xf numFmtId="171" fontId="25" fillId="17" borderId="105" xfId="0" applyNumberFormat="1" applyFont="1" applyFill="1" applyBorder="1"/>
    <xf numFmtId="41" fontId="25" fillId="0" borderId="110" xfId="0" applyNumberFormat="1" applyFont="1" applyBorder="1"/>
    <xf numFmtId="43" fontId="23" fillId="15" borderId="110" xfId="0" applyNumberFormat="1" applyFont="1" applyFill="1" applyBorder="1"/>
    <xf numFmtId="41" fontId="25" fillId="16" borderId="0" xfId="0" applyNumberFormat="1" applyFont="1" applyFill="1"/>
    <xf numFmtId="41" fontId="25" fillId="0" borderId="111" xfId="0" applyNumberFormat="1" applyFont="1" applyBorder="1"/>
    <xf numFmtId="172" fontId="30" fillId="0" borderId="0" xfId="0" applyNumberFormat="1" applyFont="1"/>
    <xf numFmtId="172" fontId="30" fillId="18" borderId="0" xfId="0" applyNumberFormat="1" applyFont="1" applyFill="1"/>
    <xf numFmtId="41" fontId="25" fillId="0" borderId="107" xfId="0" applyNumberFormat="1" applyFont="1" applyBorder="1" applyAlignment="1">
      <alignment horizontal="right"/>
    </xf>
    <xf numFmtId="41" fontId="25" fillId="16" borderId="107" xfId="0" applyNumberFormat="1" applyFont="1" applyFill="1" applyBorder="1" applyAlignment="1">
      <alignment horizontal="right"/>
    </xf>
    <xf numFmtId="172" fontId="30" fillId="19" borderId="0" xfId="0" applyNumberFormat="1" applyFont="1" applyFill="1"/>
    <xf numFmtId="41" fontId="25" fillId="0" borderId="112" xfId="0" applyNumberFormat="1" applyFont="1" applyBorder="1" applyAlignment="1">
      <alignment horizontal="right"/>
    </xf>
    <xf numFmtId="43" fontId="27" fillId="15" borderId="0" xfId="0" applyNumberFormat="1" applyFont="1" applyFill="1"/>
    <xf numFmtId="41" fontId="26" fillId="0" borderId="113" xfId="0" applyNumberFormat="1" applyFont="1" applyBorder="1"/>
    <xf numFmtId="172" fontId="26" fillId="0" borderId="0" xfId="0" applyNumberFormat="1" applyFont="1"/>
    <xf numFmtId="41" fontId="26" fillId="16" borderId="113" xfId="0" applyNumberFormat="1" applyFont="1" applyFill="1" applyBorder="1"/>
    <xf numFmtId="43" fontId="27" fillId="15" borderId="113" xfId="0" applyNumberFormat="1" applyFont="1" applyFill="1" applyBorder="1"/>
    <xf numFmtId="41" fontId="26" fillId="0" borderId="107" xfId="0" applyNumberFormat="1" applyFont="1" applyBorder="1"/>
    <xf numFmtId="171" fontId="26" fillId="0" borderId="105" xfId="0" applyNumberFormat="1" applyFont="1" applyBorder="1"/>
    <xf numFmtId="169" fontId="25" fillId="0" borderId="0" xfId="0" applyNumberFormat="1" applyFont="1"/>
    <xf numFmtId="41" fontId="25" fillId="0" borderId="112" xfId="0" applyNumberFormat="1" applyFont="1" applyBorder="1"/>
    <xf numFmtId="171" fontId="26" fillId="0" borderId="106" xfId="0" applyNumberFormat="1" applyFont="1" applyBorder="1"/>
    <xf numFmtId="171" fontId="27" fillId="15" borderId="0" xfId="0" applyNumberFormat="1" applyFont="1" applyFill="1"/>
    <xf numFmtId="169" fontId="26" fillId="0" borderId="0" xfId="0" applyNumberFormat="1" applyFont="1" applyAlignment="1">
      <alignment horizontal="left"/>
    </xf>
    <xf numFmtId="41" fontId="25" fillId="0" borderId="114" xfId="0" applyNumberFormat="1" applyFont="1" applyBorder="1"/>
    <xf numFmtId="41" fontId="25" fillId="16" borderId="114" xfId="0" applyNumberFormat="1" applyFont="1" applyFill="1" applyBorder="1"/>
    <xf numFmtId="169" fontId="25" fillId="0" borderId="0" xfId="0" applyNumberFormat="1" applyFont="1" applyAlignment="1">
      <alignment horizontal="left"/>
    </xf>
    <xf numFmtId="0" fontId="25" fillId="0" borderId="0" xfId="0" applyFont="1" applyAlignment="1">
      <alignment horizontal="center"/>
    </xf>
    <xf numFmtId="171" fontId="25" fillId="20" borderId="105" xfId="0" applyNumberFormat="1" applyFont="1" applyFill="1" applyBorder="1"/>
    <xf numFmtId="41" fontId="26" fillId="0" borderId="115" xfId="0" applyNumberFormat="1" applyFont="1" applyBorder="1"/>
    <xf numFmtId="41" fontId="26" fillId="16" borderId="115" xfId="0" applyNumberFormat="1" applyFont="1" applyFill="1" applyBorder="1"/>
    <xf numFmtId="43" fontId="27" fillId="15" borderId="115" xfId="0" applyNumberFormat="1" applyFont="1" applyFill="1" applyBorder="1"/>
    <xf numFmtId="41" fontId="26" fillId="0" borderId="0" xfId="0" applyNumberFormat="1" applyFont="1"/>
    <xf numFmtId="41" fontId="26" fillId="16" borderId="0" xfId="0" applyNumberFormat="1" applyFont="1" applyFill="1"/>
    <xf numFmtId="169" fontId="31" fillId="21" borderId="0" xfId="0" applyNumberFormat="1" applyFont="1" applyFill="1"/>
    <xf numFmtId="169" fontId="25" fillId="0" borderId="0" xfId="0" applyNumberFormat="1" applyFont="1" applyAlignment="1">
      <alignment horizontal="left" vertical="top"/>
    </xf>
    <xf numFmtId="4" fontId="32" fillId="0" borderId="0" xfId="0" applyNumberFormat="1" applyFont="1"/>
    <xf numFmtId="171" fontId="25" fillId="0" borderId="116" xfId="0" applyNumberFormat="1" applyFont="1" applyBorder="1"/>
    <xf numFmtId="172" fontId="25" fillId="0" borderId="117" xfId="0" applyNumberFormat="1" applyFont="1" applyBorder="1"/>
    <xf numFmtId="171" fontId="25" fillId="0" borderId="117" xfId="0" applyNumberFormat="1" applyFont="1" applyBorder="1"/>
    <xf numFmtId="0" fontId="26" fillId="0" borderId="117" xfId="0" applyFont="1" applyBorder="1" applyAlignment="1">
      <alignment horizontal="center"/>
    </xf>
    <xf numFmtId="171" fontId="25" fillId="0" borderId="118" xfId="0" applyNumberFormat="1" applyFont="1" applyBorder="1"/>
    <xf numFmtId="165" fontId="0" fillId="0" borderId="0" xfId="2" applyFont="1"/>
    <xf numFmtId="165" fontId="0" fillId="0" borderId="58" xfId="0" applyNumberFormat="1" applyBorder="1"/>
    <xf numFmtId="0" fontId="0" fillId="0" borderId="0" xfId="0" quotePrefix="1"/>
    <xf numFmtId="0" fontId="0" fillId="0" borderId="19" xfId="0" applyBorder="1"/>
    <xf numFmtId="0" fontId="0" fillId="0" borderId="6" xfId="0" applyBorder="1"/>
    <xf numFmtId="0" fontId="0" fillId="0" borderId="9" xfId="0" applyBorder="1"/>
    <xf numFmtId="0" fontId="0" fillId="0" borderId="4" xfId="0" applyBorder="1"/>
    <xf numFmtId="0" fontId="14" fillId="0" borderId="10" xfId="0" quotePrefix="1" applyFont="1" applyBorder="1" applyAlignment="1">
      <alignment horizontal="center"/>
    </xf>
    <xf numFmtId="0" fontId="14" fillId="0" borderId="84" xfId="0" quotePrefix="1" applyFont="1" applyBorder="1" applyAlignment="1">
      <alignment horizontal="center"/>
    </xf>
    <xf numFmtId="0" fontId="14" fillId="0" borderId="85" xfId="0" quotePrefix="1" applyFont="1" applyBorder="1" applyAlignment="1">
      <alignment horizontal="center"/>
    </xf>
    <xf numFmtId="165" fontId="14" fillId="7" borderId="19" xfId="2" applyFont="1" applyFill="1" applyBorder="1"/>
    <xf numFmtId="165" fontId="14" fillId="7" borderId="0" xfId="2" applyFont="1" applyFill="1" applyBorder="1"/>
    <xf numFmtId="165" fontId="14" fillId="7" borderId="6" xfId="2" applyFont="1" applyFill="1" applyBorder="1"/>
    <xf numFmtId="0" fontId="12" fillId="0" borderId="19" xfId="0" applyFont="1" applyBorder="1"/>
    <xf numFmtId="0" fontId="12" fillId="0" borderId="0" xfId="0" applyFont="1"/>
    <xf numFmtId="0" fontId="12" fillId="0" borderId="6" xfId="0" applyFont="1" applyBorder="1"/>
    <xf numFmtId="165" fontId="14" fillId="23" borderId="19" xfId="0" applyNumberFormat="1" applyFont="1" applyFill="1" applyBorder="1"/>
    <xf numFmtId="165" fontId="14" fillId="23" borderId="0" xfId="0" applyNumberFormat="1" applyFont="1" applyFill="1"/>
    <xf numFmtId="165" fontId="14" fillId="22" borderId="0" xfId="0" applyNumberFormat="1" applyFont="1" applyFill="1"/>
    <xf numFmtId="165" fontId="14" fillId="23" borderId="6" xfId="0" applyNumberFormat="1" applyFont="1" applyFill="1" applyBorder="1"/>
    <xf numFmtId="0" fontId="12" fillId="0" borderId="9" xfId="0" applyFont="1" applyBorder="1"/>
    <xf numFmtId="0" fontId="12" fillId="0" borderId="65" xfId="0" applyFont="1" applyBorder="1"/>
    <xf numFmtId="0" fontId="12" fillId="0" borderId="4" xfId="0" applyFont="1" applyBorder="1"/>
    <xf numFmtId="165" fontId="12" fillId="0" borderId="10" xfId="0" applyNumberFormat="1" applyFont="1" applyBorder="1"/>
    <xf numFmtId="165" fontId="12" fillId="0" borderId="84" xfId="0" applyNumberFormat="1" applyFont="1" applyBorder="1"/>
    <xf numFmtId="165" fontId="12" fillId="0" borderId="85" xfId="0" applyNumberFormat="1" applyFont="1" applyBorder="1"/>
    <xf numFmtId="166" fontId="5" fillId="0" borderId="0" xfId="0" applyNumberFormat="1" applyFont="1"/>
    <xf numFmtId="0" fontId="4" fillId="0" borderId="34" xfId="0" applyFont="1" applyBorder="1" applyAlignment="1">
      <alignment horizontal="center"/>
    </xf>
    <xf numFmtId="167" fontId="5" fillId="0" borderId="34" xfId="0" applyNumberFormat="1" applyFont="1" applyBorder="1"/>
    <xf numFmtId="0" fontId="4" fillId="4" borderId="27" xfId="0" applyFont="1" applyFill="1" applyBorder="1" applyAlignment="1">
      <alignment vertical="center" wrapText="1"/>
    </xf>
    <xf numFmtId="0" fontId="4" fillId="4" borderId="28" xfId="0" applyFont="1" applyFill="1" applyBorder="1" applyAlignment="1">
      <alignment vertical="center" wrapText="1"/>
    </xf>
    <xf numFmtId="0" fontId="4" fillId="0" borderId="27" xfId="0" applyFont="1" applyBorder="1" applyAlignment="1">
      <alignment vertical="center" wrapText="1"/>
    </xf>
    <xf numFmtId="0" fontId="17" fillId="0" borderId="0" xfId="0" applyFont="1" applyAlignment="1" applyProtection="1">
      <alignment vertical="top"/>
      <protection locked="0"/>
    </xf>
    <xf numFmtId="0" fontId="18" fillId="0" borderId="0" xfId="0" applyFont="1" applyProtection="1">
      <protection locked="0"/>
    </xf>
    <xf numFmtId="41" fontId="18" fillId="0" borderId="0" xfId="0" applyNumberFormat="1" applyFont="1" applyProtection="1">
      <protection locked="0"/>
    </xf>
    <xf numFmtId="0" fontId="19" fillId="0" borderId="0" xfId="0" applyFont="1"/>
    <xf numFmtId="41" fontId="18" fillId="0" borderId="0" xfId="1" applyNumberFormat="1" applyFont="1" applyFill="1" applyProtection="1">
      <protection locked="0"/>
    </xf>
    <xf numFmtId="41" fontId="18" fillId="0" borderId="0" xfId="1" applyNumberFormat="1" applyFont="1" applyFill="1" applyBorder="1" applyProtection="1">
      <protection locked="0"/>
    </xf>
    <xf numFmtId="0" fontId="17" fillId="0" borderId="0" xfId="0" applyFont="1" applyProtection="1">
      <protection locked="0"/>
    </xf>
    <xf numFmtId="41" fontId="17" fillId="0" borderId="58" xfId="1" applyNumberFormat="1" applyFont="1" applyFill="1" applyBorder="1" applyProtection="1">
      <protection locked="0"/>
    </xf>
    <xf numFmtId="0" fontId="19" fillId="14" borderId="8" xfId="0" applyFont="1" applyFill="1" applyBorder="1" applyAlignment="1">
      <alignment vertical="center"/>
    </xf>
    <xf numFmtId="9" fontId="33" fillId="0" borderId="35" xfId="4" applyFont="1" applyBorder="1"/>
    <xf numFmtId="9" fontId="19" fillId="0" borderId="36" xfId="4" applyFont="1" applyBorder="1"/>
    <xf numFmtId="9" fontId="19" fillId="0" borderId="32" xfId="4" applyFont="1" applyBorder="1"/>
    <xf numFmtId="9" fontId="19" fillId="0" borderId="34" xfId="4" applyFont="1" applyBorder="1"/>
    <xf numFmtId="9" fontId="19" fillId="0" borderId="0" xfId="4" applyFont="1" applyBorder="1"/>
    <xf numFmtId="9" fontId="19" fillId="0" borderId="37" xfId="4" applyFont="1" applyBorder="1"/>
    <xf numFmtId="165" fontId="19" fillId="25" borderId="28" xfId="5" applyNumberFormat="1" applyFont="1" applyFill="1" applyBorder="1" applyAlignment="1">
      <alignment vertical="center"/>
    </xf>
    <xf numFmtId="173" fontId="19" fillId="26" borderId="8" xfId="5" applyNumberFormat="1" applyFont="1" applyFill="1" applyBorder="1" applyAlignment="1">
      <alignment vertical="center"/>
    </xf>
    <xf numFmtId="9" fontId="19" fillId="0" borderId="29" xfId="4" applyFont="1" applyBorder="1"/>
    <xf numFmtId="9" fontId="19" fillId="0" borderId="20" xfId="4" applyFont="1" applyBorder="1"/>
    <xf numFmtId="9" fontId="19" fillId="0" borderId="31" xfId="4" applyFont="1" applyBorder="1"/>
    <xf numFmtId="9" fontId="19" fillId="0" borderId="35" xfId="4" applyFont="1" applyBorder="1"/>
    <xf numFmtId="170" fontId="34" fillId="0" borderId="55" xfId="2" applyNumberFormat="1" applyFont="1" applyBorder="1"/>
    <xf numFmtId="0" fontId="19" fillId="0" borderId="36" xfId="0" applyFont="1" applyBorder="1"/>
    <xf numFmtId="9" fontId="33" fillId="0" borderId="34" xfId="4" applyFont="1" applyBorder="1"/>
    <xf numFmtId="0" fontId="34" fillId="8" borderId="36" xfId="5" applyFont="1" applyFill="1" applyBorder="1" applyAlignment="1">
      <alignment horizontal="center" vertical="center"/>
    </xf>
    <xf numFmtId="173" fontId="19" fillId="26" borderId="92" xfId="5" applyNumberFormat="1" applyFont="1" applyFill="1" applyBorder="1" applyAlignment="1">
      <alignment vertical="center"/>
    </xf>
    <xf numFmtId="165" fontId="19" fillId="25" borderId="59" xfId="5" applyNumberFormat="1" applyFont="1" applyFill="1" applyBorder="1" applyAlignment="1">
      <alignment vertical="center"/>
    </xf>
    <xf numFmtId="173" fontId="19" fillId="26" borderId="59" xfId="5" applyNumberFormat="1" applyFont="1" applyFill="1" applyBorder="1" applyAlignment="1">
      <alignment vertical="center"/>
    </xf>
    <xf numFmtId="173" fontId="19" fillId="26" borderId="29" xfId="5" applyNumberFormat="1" applyFont="1" applyFill="1" applyBorder="1" applyAlignment="1">
      <alignment vertical="center"/>
    </xf>
    <xf numFmtId="165" fontId="19" fillId="25" borderId="8" xfId="5" applyNumberFormat="1" applyFont="1" applyFill="1" applyBorder="1" applyAlignment="1">
      <alignment vertical="center"/>
    </xf>
    <xf numFmtId="165" fontId="34" fillId="0" borderId="55" xfId="0" applyNumberFormat="1" applyFont="1" applyBorder="1"/>
    <xf numFmtId="0" fontId="19" fillId="0" borderId="20" xfId="0" applyFont="1" applyBorder="1"/>
    <xf numFmtId="174" fontId="19" fillId="0" borderId="35" xfId="4" applyNumberFormat="1" applyFont="1" applyBorder="1"/>
    <xf numFmtId="174" fontId="19" fillId="0" borderId="36" xfId="4" applyNumberFormat="1" applyFont="1" applyBorder="1"/>
    <xf numFmtId="173" fontId="19" fillId="0" borderId="36" xfId="0" applyNumberFormat="1" applyFont="1" applyBorder="1"/>
    <xf numFmtId="165" fontId="19" fillId="0" borderId="0" xfId="0" applyNumberFormat="1" applyFont="1"/>
    <xf numFmtId="9" fontId="19" fillId="0" borderId="84" xfId="4" applyFont="1" applyBorder="1"/>
    <xf numFmtId="9" fontId="19" fillId="0" borderId="119" xfId="4" applyFont="1" applyBorder="1"/>
    <xf numFmtId="0" fontId="34" fillId="8" borderId="84" xfId="5" applyFont="1" applyFill="1" applyBorder="1" applyAlignment="1">
      <alignment horizontal="center" vertical="center"/>
    </xf>
    <xf numFmtId="0" fontId="19" fillId="27" borderId="120" xfId="5" applyFont="1" applyFill="1" applyBorder="1" applyAlignment="1">
      <alignment vertical="center"/>
    </xf>
    <xf numFmtId="0" fontId="19" fillId="27" borderId="61" xfId="5" applyFont="1" applyFill="1" applyBorder="1" applyAlignment="1">
      <alignment vertical="center"/>
    </xf>
    <xf numFmtId="0" fontId="19" fillId="0" borderId="121" xfId="0" applyFont="1" applyBorder="1"/>
    <xf numFmtId="0" fontId="19" fillId="0" borderId="6" xfId="0" applyFont="1" applyBorder="1"/>
    <xf numFmtId="0" fontId="19" fillId="27" borderId="96" xfId="0" applyFont="1" applyFill="1" applyBorder="1"/>
    <xf numFmtId="0" fontId="19" fillId="0" borderId="120" xfId="5" applyFont="1" applyBorder="1" applyAlignment="1">
      <alignment vertical="center"/>
    </xf>
    <xf numFmtId="0" fontId="19" fillId="0" borderId="61" xfId="5" applyFont="1" applyBorder="1" applyAlignment="1">
      <alignment vertical="center"/>
    </xf>
    <xf numFmtId="0" fontId="19" fillId="0" borderId="66" xfId="0" applyFont="1" applyBorder="1"/>
    <xf numFmtId="9" fontId="19" fillId="0" borderId="93" xfId="4" applyFont="1" applyBorder="1"/>
    <xf numFmtId="9" fontId="19" fillId="0" borderId="65" xfId="4" applyFont="1" applyBorder="1"/>
    <xf numFmtId="10" fontId="34" fillId="28" borderId="65" xfId="4" applyNumberFormat="1" applyFont="1" applyFill="1" applyBorder="1" applyAlignment="1">
      <alignment horizontal="center"/>
    </xf>
    <xf numFmtId="0" fontId="19" fillId="0" borderId="4" xfId="0" applyFont="1" applyBorder="1"/>
    <xf numFmtId="0" fontId="4" fillId="4" borderId="8" xfId="0" applyFont="1" applyFill="1" applyBorder="1" applyAlignment="1">
      <alignment horizontal="center" vertical="top" wrapText="1"/>
    </xf>
    <xf numFmtId="0" fontId="4" fillId="0" borderId="36" xfId="0" applyFont="1" applyBorder="1" applyAlignment="1">
      <alignment horizontal="center" vertical="top" wrapText="1"/>
    </xf>
    <xf numFmtId="167" fontId="5" fillId="5" borderId="38" xfId="0" applyNumberFormat="1" applyFont="1" applyFill="1" applyBorder="1"/>
    <xf numFmtId="0" fontId="4" fillId="4" borderId="11" xfId="0"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0" borderId="91" xfId="0" applyFont="1" applyBorder="1" applyAlignment="1">
      <alignment horizontal="center"/>
    </xf>
    <xf numFmtId="0" fontId="4" fillId="0" borderId="120" xfId="0" applyFont="1" applyBorder="1" applyAlignment="1">
      <alignment horizontal="center"/>
    </xf>
    <xf numFmtId="167" fontId="5" fillId="0" borderId="91" xfId="0" applyNumberFormat="1" applyFont="1" applyBorder="1"/>
    <xf numFmtId="167" fontId="5" fillId="0" borderId="120" xfId="0" applyNumberFormat="1" applyFont="1" applyBorder="1"/>
    <xf numFmtId="167" fontId="5" fillId="5" borderId="91" xfId="0" applyNumberFormat="1" applyFont="1" applyFill="1" applyBorder="1"/>
    <xf numFmtId="167" fontId="5" fillId="5" borderId="120" xfId="0" applyNumberFormat="1" applyFont="1" applyFill="1" applyBorder="1"/>
    <xf numFmtId="167" fontId="5" fillId="5" borderId="97" xfId="0" applyNumberFormat="1" applyFont="1" applyFill="1" applyBorder="1"/>
    <xf numFmtId="167" fontId="5" fillId="5" borderId="64" xfId="0" applyNumberFormat="1" applyFont="1" applyFill="1" applyBorder="1"/>
    <xf numFmtId="167" fontId="5" fillId="5" borderId="94" xfId="0" applyNumberFormat="1" applyFont="1" applyFill="1" applyBorder="1"/>
    <xf numFmtId="0" fontId="4" fillId="0" borderId="122" xfId="0" applyFont="1" applyBorder="1" applyAlignment="1">
      <alignment horizontal="center" vertical="center" wrapText="1"/>
    </xf>
    <xf numFmtId="0" fontId="4" fillId="0" borderId="123"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24" xfId="0" applyFont="1" applyBorder="1" applyAlignment="1">
      <alignment horizontal="center" vertical="center" wrapText="1"/>
    </xf>
    <xf numFmtId="167" fontId="5" fillId="30" borderId="91" xfId="0" applyNumberFormat="1" applyFont="1" applyFill="1" applyBorder="1"/>
    <xf numFmtId="167" fontId="5" fillId="30" borderId="97" xfId="0" applyNumberFormat="1" applyFont="1" applyFill="1" applyBorder="1"/>
    <xf numFmtId="167" fontId="5" fillId="30" borderId="38" xfId="0" applyNumberFormat="1" applyFont="1" applyFill="1" applyBorder="1"/>
    <xf numFmtId="167" fontId="5" fillId="30" borderId="120" xfId="0" applyNumberFormat="1" applyFont="1" applyFill="1" applyBorder="1"/>
    <xf numFmtId="167" fontId="5" fillId="30" borderId="64" xfId="0" applyNumberFormat="1" applyFont="1" applyFill="1" applyBorder="1"/>
    <xf numFmtId="167" fontId="5" fillId="30" borderId="94" xfId="0" applyNumberFormat="1" applyFont="1" applyFill="1" applyBorder="1"/>
    <xf numFmtId="0" fontId="4" fillId="4" borderId="28" xfId="0" applyFont="1" applyFill="1" applyBorder="1" applyAlignment="1">
      <alignment horizontal="center" vertical="top" wrapText="1"/>
    </xf>
    <xf numFmtId="0" fontId="2" fillId="0" borderId="0" xfId="0" applyFont="1" applyAlignment="1">
      <alignment horizontal="left"/>
    </xf>
    <xf numFmtId="0" fontId="4" fillId="0" borderId="9" xfId="0" applyFont="1" applyBorder="1" applyAlignment="1">
      <alignment horizontal="left" vertical="center"/>
    </xf>
    <xf numFmtId="0" fontId="5" fillId="0" borderId="68" xfId="0" applyFont="1" applyBorder="1" applyAlignment="1">
      <alignment horizontal="center" vertical="center"/>
    </xf>
    <xf numFmtId="0" fontId="4" fillId="0" borderId="99"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0" xfId="0" applyFont="1" applyBorder="1"/>
    <xf numFmtId="0" fontId="5" fillId="0" borderId="125" xfId="0" applyFont="1" applyBorder="1" applyAlignment="1">
      <alignment horizontal="center"/>
    </xf>
    <xf numFmtId="167" fontId="4" fillId="0" borderId="119" xfId="0" applyNumberFormat="1" applyFont="1" applyBorder="1" applyAlignment="1">
      <alignment horizontal="center"/>
    </xf>
    <xf numFmtId="0" fontId="4" fillId="0" borderId="89" xfId="0" applyFont="1" applyBorder="1" applyAlignment="1">
      <alignment horizontal="center"/>
    </xf>
    <xf numFmtId="0" fontId="4" fillId="0" borderId="125" xfId="0" applyFont="1" applyBorder="1" applyAlignment="1">
      <alignment horizontal="center"/>
    </xf>
    <xf numFmtId="0" fontId="4" fillId="0" borderId="119" xfId="0" applyFont="1" applyBorder="1" applyAlignment="1">
      <alignment horizontal="center"/>
    </xf>
    <xf numFmtId="0" fontId="4" fillId="0" borderId="126" xfId="0" applyFont="1" applyBorder="1" applyAlignment="1">
      <alignment horizontal="center"/>
    </xf>
    <xf numFmtId="0" fontId="4" fillId="0" borderId="85" xfId="0" applyFont="1" applyBorder="1" applyAlignment="1">
      <alignment horizontal="center"/>
    </xf>
    <xf numFmtId="168" fontId="5" fillId="0" borderId="67" xfId="0" applyNumberFormat="1" applyFont="1" applyBorder="1"/>
    <xf numFmtId="168" fontId="5" fillId="0" borderId="6" xfId="0" applyNumberFormat="1" applyFont="1" applyBorder="1"/>
    <xf numFmtId="168" fontId="5" fillId="5" borderId="6" xfId="0" applyNumberFormat="1" applyFont="1" applyFill="1" applyBorder="1" applyProtection="1">
      <protection locked="0"/>
    </xf>
    <xf numFmtId="168" fontId="5" fillId="5" borderId="67" xfId="0" applyNumberFormat="1" applyFont="1" applyFill="1" applyBorder="1" applyProtection="1">
      <protection locked="0"/>
    </xf>
    <xf numFmtId="168" fontId="5" fillId="5" borderId="67" xfId="1" applyNumberFormat="1" applyFont="1" applyFill="1" applyBorder="1" applyProtection="1">
      <protection locked="0"/>
    </xf>
    <xf numFmtId="0" fontId="5" fillId="0" borderId="68" xfId="0" applyFont="1" applyBorder="1" applyAlignment="1">
      <alignment horizontal="center"/>
    </xf>
    <xf numFmtId="168" fontId="5" fillId="5" borderId="99" xfId="0" applyNumberFormat="1" applyFont="1" applyFill="1" applyBorder="1" applyProtection="1">
      <protection locked="0"/>
    </xf>
    <xf numFmtId="168" fontId="5" fillId="5" borderId="93" xfId="0" applyNumberFormat="1" applyFont="1" applyFill="1" applyBorder="1" applyProtection="1">
      <protection locked="0"/>
    </xf>
    <xf numFmtId="168" fontId="5" fillId="5" borderId="68" xfId="0" applyNumberFormat="1" applyFont="1" applyFill="1" applyBorder="1" applyProtection="1">
      <protection locked="0"/>
    </xf>
    <xf numFmtId="168" fontId="5" fillId="5" borderId="127" xfId="0" applyNumberFormat="1" applyFont="1" applyFill="1" applyBorder="1" applyProtection="1">
      <protection locked="0"/>
    </xf>
    <xf numFmtId="168" fontId="5" fillId="5" borderId="4" xfId="0" applyNumberFormat="1" applyFont="1" applyFill="1" applyBorder="1" applyProtection="1">
      <protection locked="0"/>
    </xf>
    <xf numFmtId="0" fontId="4" fillId="0" borderId="128" xfId="0" applyFont="1" applyBorder="1" applyAlignment="1">
      <alignment horizontal="center" vertical="center"/>
    </xf>
    <xf numFmtId="0" fontId="4" fillId="0" borderId="129" xfId="0" applyFont="1" applyBorder="1" applyAlignment="1">
      <alignment vertical="center"/>
    </xf>
    <xf numFmtId="0" fontId="4" fillId="0" borderId="130" xfId="0" applyFont="1" applyBorder="1" applyAlignment="1">
      <alignment horizontal="center" vertical="center" wrapText="1"/>
    </xf>
    <xf numFmtId="0" fontId="4" fillId="0" borderId="131" xfId="0" applyFont="1" applyBorder="1" applyAlignment="1">
      <alignment vertical="center"/>
    </xf>
    <xf numFmtId="0" fontId="4" fillId="0" borderId="62" xfId="0" applyFont="1" applyBorder="1" applyAlignment="1">
      <alignment vertical="center"/>
    </xf>
    <xf numFmtId="0" fontId="4" fillId="0" borderId="62" xfId="0" applyFont="1" applyBorder="1" applyAlignment="1">
      <alignment vertical="center" wrapText="1"/>
    </xf>
    <xf numFmtId="0" fontId="4" fillId="0" borderId="3" xfId="0" applyFont="1" applyBorder="1" applyAlignment="1">
      <alignment vertical="center" wrapText="1"/>
    </xf>
    <xf numFmtId="0" fontId="4" fillId="0" borderId="34" xfId="0" applyFont="1" applyBorder="1" applyAlignment="1">
      <alignment horizontal="left" vertical="center" wrapText="1"/>
    </xf>
    <xf numFmtId="168" fontId="4" fillId="0" borderId="37" xfId="0" applyNumberFormat="1" applyFont="1" applyBorder="1" applyAlignment="1">
      <alignment vertical="center"/>
    </xf>
    <xf numFmtId="0" fontId="4" fillId="0" borderId="76" xfId="0" applyFont="1" applyBorder="1" applyAlignment="1">
      <alignment vertical="top"/>
    </xf>
    <xf numFmtId="0" fontId="5" fillId="0" borderId="78" xfId="0" applyFont="1" applyBorder="1" applyAlignment="1">
      <alignment horizontal="center" vertical="top"/>
    </xf>
    <xf numFmtId="168" fontId="4" fillId="0" borderId="79" xfId="0" applyNumberFormat="1" applyFont="1" applyBorder="1" applyAlignment="1">
      <alignment vertical="top"/>
    </xf>
    <xf numFmtId="168" fontId="4" fillId="0" borderId="76" xfId="0" applyNumberFormat="1" applyFont="1" applyBorder="1" applyAlignment="1">
      <alignment vertical="top"/>
    </xf>
    <xf numFmtId="168" fontId="4" fillId="0" borderId="78" xfId="0" applyNumberFormat="1" applyFont="1" applyBorder="1" applyAlignment="1">
      <alignment vertical="top"/>
    </xf>
    <xf numFmtId="168" fontId="4" fillId="0" borderId="77" xfId="0" applyNumberFormat="1" applyFont="1" applyBorder="1" applyAlignment="1">
      <alignment vertical="top"/>
    </xf>
    <xf numFmtId="0" fontId="5" fillId="0" borderId="10" xfId="0" applyFont="1" applyBorder="1"/>
    <xf numFmtId="168" fontId="5" fillId="0" borderId="119" xfId="0" applyNumberFormat="1" applyFont="1" applyBorder="1"/>
    <xf numFmtId="168" fontId="5" fillId="0" borderId="89" xfId="0" applyNumberFormat="1" applyFont="1" applyBorder="1"/>
    <xf numFmtId="168" fontId="5" fillId="0" borderId="125" xfId="0" applyNumberFormat="1" applyFont="1" applyBorder="1"/>
    <xf numFmtId="168" fontId="5" fillId="0" borderId="126" xfId="0" applyNumberFormat="1" applyFont="1" applyBorder="1"/>
    <xf numFmtId="168" fontId="5" fillId="0" borderId="85" xfId="0" applyNumberFormat="1" applyFont="1" applyBorder="1"/>
    <xf numFmtId="0" fontId="6" fillId="0" borderId="19" xfId="0" applyFont="1" applyBorder="1"/>
    <xf numFmtId="168" fontId="5" fillId="5" borderId="6" xfId="1" applyNumberFormat="1" applyFont="1" applyFill="1" applyBorder="1" applyProtection="1">
      <protection locked="0"/>
    </xf>
    <xf numFmtId="168" fontId="5" fillId="5" borderId="93" xfId="1" applyNumberFormat="1" applyFont="1" applyFill="1" applyBorder="1" applyProtection="1">
      <protection locked="0"/>
    </xf>
    <xf numFmtId="168" fontId="5" fillId="5" borderId="68" xfId="1" applyNumberFormat="1" applyFont="1" applyFill="1" applyBorder="1" applyProtection="1">
      <protection locked="0"/>
    </xf>
    <xf numFmtId="168" fontId="5" fillId="5" borderId="127" xfId="1" applyNumberFormat="1" applyFont="1" applyFill="1" applyBorder="1" applyProtection="1">
      <protection locked="0"/>
    </xf>
    <xf numFmtId="168" fontId="5" fillId="5" borderId="4" xfId="1" applyNumberFormat="1" applyFont="1" applyFill="1" applyBorder="1" applyProtection="1">
      <protection locked="0"/>
    </xf>
    <xf numFmtId="167" fontId="4" fillId="0" borderId="63" xfId="0" applyNumberFormat="1" applyFont="1" applyBorder="1" applyAlignment="1">
      <alignment vertical="center"/>
    </xf>
    <xf numFmtId="167" fontId="4" fillId="0" borderId="59" xfId="0" applyNumberFormat="1" applyFont="1" applyBorder="1"/>
    <xf numFmtId="167" fontId="5" fillId="0" borderId="87" xfId="0" applyNumberFormat="1" applyFont="1" applyBorder="1"/>
    <xf numFmtId="167" fontId="5" fillId="0" borderId="63" xfId="0" applyNumberFormat="1" applyFont="1" applyBorder="1"/>
    <xf numFmtId="167" fontId="5" fillId="0" borderId="90" xfId="0" applyNumberFormat="1" applyFont="1" applyBorder="1"/>
    <xf numFmtId="0" fontId="35" fillId="31" borderId="8" xfId="0" applyFont="1" applyFill="1" applyBorder="1" applyAlignment="1">
      <alignment horizontal="center" vertical="center"/>
    </xf>
    <xf numFmtId="0" fontId="38" fillId="31" borderId="98" xfId="0" applyFont="1" applyFill="1" applyBorder="1" applyAlignment="1">
      <alignment horizontal="center" vertical="center" wrapText="1"/>
    </xf>
    <xf numFmtId="0" fontId="38" fillId="31" borderId="12" xfId="0" applyFont="1" applyFill="1" applyBorder="1" applyAlignment="1">
      <alignment horizontal="center" vertical="center" wrapText="1"/>
    </xf>
    <xf numFmtId="165" fontId="19" fillId="0" borderId="0" xfId="2" applyFont="1"/>
    <xf numFmtId="0" fontId="19" fillId="30" borderId="8" xfId="0" applyFont="1" applyFill="1" applyBorder="1" applyAlignment="1">
      <alignment vertical="center"/>
    </xf>
    <xf numFmtId="174" fontId="34" fillId="6" borderId="20" xfId="6" applyNumberFormat="1" applyFont="1" applyFill="1" applyBorder="1" applyAlignment="1">
      <alignment horizontal="center" vertical="center"/>
    </xf>
    <xf numFmtId="10" fontId="34" fillId="6" borderId="31" xfId="6" applyNumberFormat="1" applyFont="1" applyFill="1" applyBorder="1" applyAlignment="1">
      <alignment horizontal="center" vertical="center"/>
    </xf>
    <xf numFmtId="0" fontId="19" fillId="8" borderId="8" xfId="0" applyFont="1" applyFill="1" applyBorder="1"/>
    <xf numFmtId="165" fontId="19" fillId="0" borderId="38" xfId="2" applyFont="1" applyBorder="1"/>
    <xf numFmtId="170" fontId="19" fillId="0" borderId="38" xfId="2" applyNumberFormat="1" applyFont="1" applyBorder="1"/>
    <xf numFmtId="165" fontId="19" fillId="0" borderId="0" xfId="2" applyFont="1" applyFill="1" applyBorder="1"/>
    <xf numFmtId="170" fontId="19" fillId="0" borderId="0" xfId="2" applyNumberFormat="1" applyFont="1" applyFill="1" applyBorder="1"/>
    <xf numFmtId="9" fontId="19" fillId="0" borderId="0" xfId="4" applyFont="1" applyFill="1" applyBorder="1"/>
    <xf numFmtId="9" fontId="33" fillId="0" borderId="0" xfId="4" applyFont="1" applyFill="1" applyBorder="1"/>
    <xf numFmtId="9" fontId="19" fillId="0" borderId="89" xfId="4" applyFont="1" applyBorder="1"/>
    <xf numFmtId="0" fontId="34" fillId="8" borderId="89" xfId="5" applyFont="1" applyFill="1" applyBorder="1" applyAlignment="1">
      <alignment horizontal="center" vertical="center"/>
    </xf>
    <xf numFmtId="0" fontId="34" fillId="8" borderId="119" xfId="5" applyFont="1" applyFill="1" applyBorder="1" applyAlignment="1">
      <alignment horizontal="center" vertical="center"/>
    </xf>
    <xf numFmtId="0" fontId="19" fillId="0" borderId="85" xfId="0" applyFont="1" applyBorder="1"/>
    <xf numFmtId="0" fontId="34" fillId="8" borderId="132" xfId="5" applyFont="1" applyFill="1" applyBorder="1" applyAlignment="1">
      <alignment vertical="center"/>
    </xf>
    <xf numFmtId="0" fontId="34" fillId="8" borderId="15" xfId="5" applyFont="1" applyFill="1" applyBorder="1" applyAlignment="1">
      <alignment vertical="center"/>
    </xf>
    <xf numFmtId="0" fontId="39" fillId="0" borderId="0" xfId="0" applyFont="1"/>
    <xf numFmtId="9" fontId="19" fillId="0" borderId="0" xfId="4" applyFont="1" applyAlignment="1">
      <alignment horizontal="center"/>
    </xf>
    <xf numFmtId="1" fontId="40" fillId="32" borderId="0" xfId="0" applyNumberFormat="1" applyFont="1" applyFill="1" applyAlignment="1">
      <alignment horizontal="center"/>
    </xf>
    <xf numFmtId="0" fontId="40" fillId="32" borderId="0" xfId="0" applyFont="1" applyFill="1"/>
    <xf numFmtId="0" fontId="40" fillId="32" borderId="0" xfId="0" applyFont="1" applyFill="1" applyAlignment="1">
      <alignment horizontal="center"/>
    </xf>
    <xf numFmtId="165" fontId="40" fillId="32" borderId="0" xfId="2" applyFont="1" applyFill="1"/>
    <xf numFmtId="165" fontId="40" fillId="32" borderId="0" xfId="2" applyFont="1" applyFill="1" applyAlignment="1">
      <alignment horizontal="center"/>
    </xf>
    <xf numFmtId="165" fontId="19" fillId="31" borderId="0" xfId="2" applyFont="1" applyFill="1"/>
    <xf numFmtId="17" fontId="41" fillId="29" borderId="0" xfId="0" applyNumberFormat="1" applyFont="1" applyFill="1" applyAlignment="1">
      <alignment horizontal="center"/>
    </xf>
    <xf numFmtId="0" fontId="34" fillId="8" borderId="92" xfId="5" applyFont="1" applyFill="1" applyBorder="1" applyAlignment="1">
      <alignment horizontal="center" vertical="center"/>
    </xf>
    <xf numFmtId="0" fontId="34" fillId="8" borderId="27" xfId="5" applyFont="1" applyFill="1" applyBorder="1" applyAlignment="1">
      <alignment horizontal="center" vertical="center"/>
    </xf>
    <xf numFmtId="0" fontId="34" fillId="8" borderId="28" xfId="5" applyFont="1" applyFill="1" applyBorder="1" applyAlignment="1">
      <alignment horizontal="center" vertical="center"/>
    </xf>
    <xf numFmtId="1" fontId="19" fillId="0" borderId="0" xfId="0" applyNumberFormat="1" applyFont="1" applyAlignment="1">
      <alignment horizontal="center"/>
    </xf>
    <xf numFmtId="0" fontId="19" fillId="33" borderId="0" xfId="0" applyFont="1" applyFill="1"/>
    <xf numFmtId="0" fontId="19" fillId="0" borderId="0" xfId="0" applyFont="1" applyAlignment="1">
      <alignment horizontal="center"/>
    </xf>
    <xf numFmtId="0" fontId="19" fillId="34" borderId="0" xfId="0" applyFont="1" applyFill="1"/>
    <xf numFmtId="165" fontId="19" fillId="14" borderId="0" xfId="2" applyFont="1" applyFill="1"/>
    <xf numFmtId="165" fontId="19" fillId="8" borderId="0" xfId="2" applyFont="1" applyFill="1"/>
    <xf numFmtId="165" fontId="19" fillId="35" borderId="0" xfId="2" applyFont="1" applyFill="1"/>
    <xf numFmtId="165" fontId="19" fillId="3" borderId="0" xfId="2" applyFont="1" applyFill="1"/>
    <xf numFmtId="165" fontId="19" fillId="8" borderId="0" xfId="0" applyNumberFormat="1" applyFont="1" applyFill="1"/>
    <xf numFmtId="165" fontId="19" fillId="25" borderId="33" xfId="0" applyNumberFormat="1" applyFont="1" applyFill="1" applyBorder="1"/>
    <xf numFmtId="170" fontId="19" fillId="0" borderId="33" xfId="2" applyNumberFormat="1" applyFont="1" applyBorder="1"/>
    <xf numFmtId="0" fontId="34" fillId="34" borderId="0" xfId="0" applyFont="1" applyFill="1"/>
    <xf numFmtId="165" fontId="19" fillId="25" borderId="38" xfId="0" applyNumberFormat="1" applyFont="1" applyFill="1" applyBorder="1"/>
    <xf numFmtId="165" fontId="19" fillId="27" borderId="0" xfId="2" applyFont="1" applyFill="1"/>
    <xf numFmtId="0" fontId="19" fillId="36" borderId="0" xfId="0" applyFont="1" applyFill="1"/>
    <xf numFmtId="0" fontId="19" fillId="25" borderId="59" xfId="0" applyFont="1" applyFill="1" applyBorder="1"/>
    <xf numFmtId="0" fontId="19" fillId="0" borderId="59" xfId="0" applyFont="1" applyBorder="1"/>
    <xf numFmtId="165" fontId="19" fillId="0" borderId="58" xfId="2" applyFont="1" applyBorder="1"/>
    <xf numFmtId="165" fontId="34" fillId="0" borderId="58" xfId="2" applyFont="1" applyBorder="1"/>
    <xf numFmtId="165" fontId="19" fillId="29" borderId="0" xfId="2" applyFont="1" applyFill="1"/>
    <xf numFmtId="0" fontId="33" fillId="10" borderId="0" xfId="0" applyFont="1" applyFill="1" applyAlignment="1">
      <alignment horizontal="left"/>
    </xf>
    <xf numFmtId="0" fontId="19" fillId="10" borderId="0" xfId="0" applyFont="1" applyFill="1"/>
    <xf numFmtId="170" fontId="19" fillId="0" borderId="58" xfId="2" applyNumberFormat="1" applyFont="1" applyFill="1" applyBorder="1"/>
    <xf numFmtId="170" fontId="19" fillId="35" borderId="0" xfId="2" applyNumberFormat="1" applyFont="1" applyFill="1"/>
    <xf numFmtId="170" fontId="19" fillId="0" borderId="0" xfId="0" applyNumberFormat="1" applyFont="1"/>
    <xf numFmtId="170" fontId="34" fillId="10" borderId="8" xfId="0" applyNumberFormat="1" applyFont="1" applyFill="1" applyBorder="1"/>
    <xf numFmtId="0" fontId="19" fillId="0" borderId="0" xfId="0" applyFont="1" applyAlignment="1">
      <alignment horizontal="right"/>
    </xf>
    <xf numFmtId="0" fontId="33" fillId="0" borderId="0" xfId="0" applyFont="1" applyAlignment="1">
      <alignment horizontal="left"/>
    </xf>
    <xf numFmtId="165" fontId="19" fillId="0" borderId="58" xfId="0" applyNumberFormat="1" applyFont="1" applyBorder="1"/>
    <xf numFmtId="9" fontId="19" fillId="0" borderId="35" xfId="4" applyFont="1" applyBorder="1" applyAlignment="1">
      <alignment horizontal="center"/>
    </xf>
    <xf numFmtId="9" fontId="19" fillId="0" borderId="36" xfId="4" applyFont="1" applyBorder="1" applyAlignment="1">
      <alignment horizontal="center"/>
    </xf>
    <xf numFmtId="165" fontId="19" fillId="25" borderId="35" xfId="2" applyFont="1" applyFill="1" applyBorder="1"/>
    <xf numFmtId="165" fontId="19" fillId="0" borderId="36" xfId="2" applyFont="1" applyBorder="1"/>
    <xf numFmtId="165" fontId="19" fillId="0" borderId="32" xfId="2" applyFont="1" applyBorder="1"/>
    <xf numFmtId="9" fontId="19" fillId="0" borderId="34" xfId="4" applyFont="1" applyBorder="1" applyAlignment="1">
      <alignment horizontal="center"/>
    </xf>
    <xf numFmtId="9" fontId="19" fillId="0" borderId="0" xfId="4" applyFont="1" applyBorder="1" applyAlignment="1">
      <alignment horizontal="center"/>
    </xf>
    <xf numFmtId="165" fontId="19" fillId="25" borderId="34" xfId="0" applyNumberFormat="1" applyFont="1" applyFill="1" applyBorder="1"/>
    <xf numFmtId="165" fontId="19" fillId="0" borderId="0" xfId="2" applyFont="1" applyBorder="1"/>
    <xf numFmtId="165" fontId="19" fillId="0" borderId="37" xfId="2" applyFont="1" applyBorder="1"/>
    <xf numFmtId="0" fontId="19" fillId="0" borderId="37" xfId="0" applyFont="1" applyBorder="1"/>
    <xf numFmtId="9" fontId="19" fillId="0" borderId="29" xfId="4" applyFont="1" applyBorder="1" applyAlignment="1">
      <alignment horizontal="center"/>
    </xf>
    <xf numFmtId="9" fontId="19" fillId="0" borderId="20" xfId="4" applyFont="1" applyBorder="1" applyAlignment="1">
      <alignment horizontal="center"/>
    </xf>
    <xf numFmtId="165" fontId="19" fillId="25" borderId="29" xfId="0" applyNumberFormat="1" applyFont="1" applyFill="1" applyBorder="1"/>
    <xf numFmtId="165" fontId="19" fillId="0" borderId="20" xfId="2" applyFont="1" applyBorder="1"/>
    <xf numFmtId="165" fontId="19" fillId="0" borderId="31" xfId="2" applyFont="1" applyBorder="1"/>
    <xf numFmtId="10" fontId="34" fillId="0" borderId="0" xfId="4" applyNumberFormat="1" applyFont="1" applyAlignment="1">
      <alignment horizontal="center"/>
    </xf>
    <xf numFmtId="0" fontId="20" fillId="38" borderId="10" xfId="0" applyFont="1" applyFill="1" applyBorder="1"/>
    <xf numFmtId="0" fontId="20" fillId="38" borderId="84" xfId="0" applyFont="1" applyFill="1" applyBorder="1"/>
    <xf numFmtId="0" fontId="35" fillId="38" borderId="84" xfId="0" applyFont="1" applyFill="1" applyBorder="1"/>
    <xf numFmtId="165" fontId="42" fillId="38" borderId="84" xfId="2" applyFont="1" applyFill="1" applyBorder="1"/>
    <xf numFmtId="10" fontId="42" fillId="38" borderId="84" xfId="4" applyNumberFormat="1" applyFont="1" applyFill="1" applyBorder="1" applyAlignment="1">
      <alignment horizontal="center"/>
    </xf>
    <xf numFmtId="1" fontId="40" fillId="32" borderId="19" xfId="0" applyNumberFormat="1" applyFont="1" applyFill="1" applyBorder="1" applyAlignment="1">
      <alignment horizontal="center"/>
    </xf>
    <xf numFmtId="1" fontId="19" fillId="0" borderId="19" xfId="0" applyNumberFormat="1" applyFont="1" applyBorder="1" applyAlignment="1">
      <alignment horizontal="center"/>
    </xf>
    <xf numFmtId="170" fontId="19" fillId="25" borderId="35" xfId="2" applyNumberFormat="1" applyFont="1" applyFill="1" applyBorder="1"/>
    <xf numFmtId="170" fontId="19" fillId="0" borderId="36" xfId="0" applyNumberFormat="1" applyFont="1" applyBorder="1"/>
    <xf numFmtId="170" fontId="19" fillId="0" borderId="32" xfId="0" applyNumberFormat="1" applyFont="1" applyBorder="1"/>
    <xf numFmtId="170" fontId="19" fillId="25" borderId="34" xfId="2" applyNumberFormat="1" applyFont="1" applyFill="1" applyBorder="1"/>
    <xf numFmtId="170" fontId="19" fillId="0" borderId="37" xfId="0" applyNumberFormat="1" applyFont="1" applyBorder="1"/>
    <xf numFmtId="170" fontId="19" fillId="25" borderId="29" xfId="2" applyNumberFormat="1" applyFont="1" applyFill="1" applyBorder="1"/>
    <xf numFmtId="170" fontId="19" fillId="0" borderId="20" xfId="0" applyNumberFormat="1" applyFont="1" applyBorder="1"/>
    <xf numFmtId="170" fontId="19" fillId="0" borderId="31" xfId="0" applyNumberFormat="1" applyFont="1" applyBorder="1"/>
    <xf numFmtId="170" fontId="34" fillId="0" borderId="58" xfId="2" applyNumberFormat="1" applyFont="1" applyBorder="1"/>
    <xf numFmtId="165" fontId="0" fillId="0" borderId="0" xfId="2" applyFont="1" applyBorder="1"/>
    <xf numFmtId="0" fontId="20" fillId="38" borderId="19" xfId="0" applyFont="1" applyFill="1" applyBorder="1"/>
    <xf numFmtId="0" fontId="20" fillId="38" borderId="0" xfId="0" applyFont="1" applyFill="1"/>
    <xf numFmtId="0" fontId="43" fillId="38" borderId="0" xfId="0" applyFont="1" applyFill="1"/>
    <xf numFmtId="0" fontId="35" fillId="38" borderId="0" xfId="0" applyFont="1" applyFill="1"/>
    <xf numFmtId="9" fontId="19" fillId="0" borderId="32" xfId="4" applyFont="1" applyBorder="1" applyAlignment="1">
      <alignment horizontal="center"/>
    </xf>
    <xf numFmtId="165" fontId="19" fillId="0" borderId="36" xfId="2" applyFont="1" applyFill="1" applyBorder="1"/>
    <xf numFmtId="165" fontId="19" fillId="0" borderId="32" xfId="2" applyFont="1" applyFill="1" applyBorder="1"/>
    <xf numFmtId="0" fontId="0" fillId="34" borderId="0" xfId="0" applyFill="1"/>
    <xf numFmtId="0" fontId="0" fillId="34" borderId="6" xfId="0" applyFill="1" applyBorder="1"/>
    <xf numFmtId="9" fontId="19" fillId="0" borderId="37" xfId="4" applyFont="1" applyBorder="1" applyAlignment="1">
      <alignment horizontal="center"/>
    </xf>
    <xf numFmtId="165" fontId="19" fillId="0" borderId="37" xfId="0" applyNumberFormat="1" applyFont="1" applyBorder="1"/>
    <xf numFmtId="9" fontId="19" fillId="0" borderId="31" xfId="4" applyFont="1" applyBorder="1" applyAlignment="1">
      <alignment horizontal="center"/>
    </xf>
    <xf numFmtId="165" fontId="19" fillId="0" borderId="20" xfId="2" applyFont="1" applyFill="1" applyBorder="1"/>
    <xf numFmtId="165" fontId="19" fillId="0" borderId="31" xfId="2" applyFont="1" applyFill="1" applyBorder="1"/>
    <xf numFmtId="10" fontId="34" fillId="0" borderId="0" xfId="4" applyNumberFormat="1" applyFont="1" applyBorder="1" applyAlignment="1">
      <alignment horizontal="center"/>
    </xf>
    <xf numFmtId="165" fontId="0" fillId="0" borderId="65" xfId="2" applyFont="1" applyBorder="1"/>
    <xf numFmtId="0" fontId="19" fillId="0" borderId="65" xfId="0" applyFont="1" applyBorder="1"/>
    <xf numFmtId="165" fontId="20" fillId="38" borderId="84" xfId="2" applyFont="1" applyFill="1" applyBorder="1"/>
    <xf numFmtId="0" fontId="19" fillId="0" borderId="84" xfId="0" applyFont="1" applyBorder="1"/>
    <xf numFmtId="165" fontId="19" fillId="25" borderId="33" xfId="2" applyFont="1" applyFill="1" applyBorder="1"/>
    <xf numFmtId="165" fontId="19" fillId="0" borderId="59" xfId="2" applyFont="1" applyBorder="1"/>
    <xf numFmtId="0" fontId="19" fillId="34" borderId="6" xfId="0" applyFont="1" applyFill="1" applyBorder="1"/>
    <xf numFmtId="174" fontId="34" fillId="0" borderId="0" xfId="4" applyNumberFormat="1" applyFont="1" applyBorder="1" applyAlignment="1">
      <alignment horizontal="center"/>
    </xf>
    <xf numFmtId="165" fontId="19" fillId="0" borderId="65" xfId="2" applyFont="1" applyBorder="1"/>
    <xf numFmtId="1" fontId="19" fillId="0" borderId="35" xfId="0" applyNumberFormat="1" applyFont="1" applyBorder="1" applyAlignment="1">
      <alignment horizontal="center"/>
    </xf>
    <xf numFmtId="1" fontId="19" fillId="0" borderId="36" xfId="0" applyNumberFormat="1" applyFont="1" applyBorder="1" applyAlignment="1">
      <alignment horizontal="center"/>
    </xf>
    <xf numFmtId="0" fontId="19" fillId="0" borderId="32" xfId="0" applyFont="1" applyBorder="1"/>
    <xf numFmtId="170" fontId="19" fillId="0" borderId="0" xfId="2" applyNumberFormat="1" applyFont="1"/>
    <xf numFmtId="1" fontId="19" fillId="0" borderId="34" xfId="0" applyNumberFormat="1" applyFont="1" applyBorder="1" applyAlignment="1">
      <alignment horizontal="center"/>
    </xf>
    <xf numFmtId="170" fontId="19" fillId="0" borderId="0" xfId="2" applyNumberFormat="1" applyFont="1" applyBorder="1"/>
    <xf numFmtId="1" fontId="19" fillId="0" borderId="29" xfId="0" applyNumberFormat="1" applyFont="1" applyBorder="1" applyAlignment="1">
      <alignment horizontal="center"/>
    </xf>
    <xf numFmtId="1" fontId="19" fillId="0" borderId="20" xfId="0" applyNumberFormat="1" applyFont="1" applyBorder="1" applyAlignment="1">
      <alignment horizontal="center"/>
    </xf>
    <xf numFmtId="0" fontId="19" fillId="0" borderId="31" xfId="0" applyFont="1" applyBorder="1"/>
    <xf numFmtId="0" fontId="20" fillId="38" borderId="92" xfId="0" applyFont="1" applyFill="1" applyBorder="1"/>
    <xf numFmtId="0" fontId="20" fillId="38" borderId="27" xfId="0" applyFont="1" applyFill="1" applyBorder="1"/>
    <xf numFmtId="0" fontId="43" fillId="38" borderId="27" xfId="0" applyFont="1" applyFill="1" applyBorder="1"/>
    <xf numFmtId="0" fontId="35" fillId="38" borderId="27" xfId="0" applyFont="1" applyFill="1" applyBorder="1"/>
    <xf numFmtId="0" fontId="20" fillId="0" borderId="35" xfId="0" applyFont="1" applyBorder="1"/>
    <xf numFmtId="0" fontId="20" fillId="0" borderId="32" xfId="0" applyFont="1" applyBorder="1"/>
    <xf numFmtId="165" fontId="19" fillId="0" borderId="33" xfId="2" applyFont="1" applyFill="1" applyBorder="1" applyAlignment="1">
      <alignment horizontal="center" vertical="center"/>
    </xf>
    <xf numFmtId="165" fontId="19" fillId="0" borderId="36" xfId="2" applyFont="1" applyFill="1" applyBorder="1" applyAlignment="1">
      <alignment horizontal="center" vertical="center"/>
    </xf>
    <xf numFmtId="0" fontId="0" fillId="0" borderId="34" xfId="0" applyBorder="1"/>
    <xf numFmtId="0" fontId="0" fillId="0" borderId="37" xfId="0" applyBorder="1"/>
    <xf numFmtId="165" fontId="19" fillId="25" borderId="38" xfId="2" applyFont="1" applyFill="1" applyBorder="1"/>
    <xf numFmtId="165" fontId="19" fillId="25" borderId="0" xfId="2" applyFont="1" applyFill="1" applyBorder="1"/>
    <xf numFmtId="0" fontId="0" fillId="0" borderId="29" xfId="0" applyBorder="1"/>
    <xf numFmtId="0" fontId="0" fillId="0" borderId="31" xfId="0" applyBorder="1"/>
    <xf numFmtId="170" fontId="34" fillId="0" borderId="57" xfId="2" applyNumberFormat="1" applyFont="1" applyBorder="1"/>
    <xf numFmtId="0" fontId="34" fillId="0" borderId="33" xfId="0" applyFont="1" applyBorder="1" applyAlignment="1">
      <alignment vertical="center"/>
    </xf>
    <xf numFmtId="0" fontId="34" fillId="8" borderId="8" xfId="0" applyFont="1" applyFill="1" applyBorder="1" applyAlignment="1">
      <alignment horizontal="center" vertical="center"/>
    </xf>
    <xf numFmtId="165" fontId="19" fillId="0" borderId="34" xfId="0" applyNumberFormat="1" applyFont="1" applyBorder="1"/>
    <xf numFmtId="0" fontId="19" fillId="25" borderId="33" xfId="5" applyFont="1" applyFill="1" applyBorder="1" applyAlignment="1">
      <alignment vertical="center"/>
    </xf>
    <xf numFmtId="170" fontId="19" fillId="25" borderId="33" xfId="2" applyNumberFormat="1" applyFont="1" applyFill="1" applyBorder="1"/>
    <xf numFmtId="0" fontId="19" fillId="25" borderId="38" xfId="5" applyFont="1" applyFill="1" applyBorder="1" applyAlignment="1">
      <alignment vertical="center"/>
    </xf>
    <xf numFmtId="170" fontId="19" fillId="25" borderId="38" xfId="2" applyNumberFormat="1" applyFont="1" applyFill="1" applyBorder="1"/>
    <xf numFmtId="165" fontId="19" fillId="0" borderId="29" xfId="0" applyNumberFormat="1" applyFont="1" applyBorder="1"/>
    <xf numFmtId="165" fontId="19" fillId="0" borderId="20" xfId="0" applyNumberFormat="1" applyFont="1" applyBorder="1"/>
    <xf numFmtId="165" fontId="19" fillId="0" borderId="31" xfId="0" applyNumberFormat="1" applyFont="1" applyBorder="1"/>
    <xf numFmtId="0" fontId="19" fillId="25" borderId="59" xfId="5" applyFont="1" applyFill="1" applyBorder="1" applyAlignment="1">
      <alignment vertical="center"/>
    </xf>
    <xf numFmtId="165" fontId="34" fillId="0" borderId="58" xfId="0" applyNumberFormat="1" applyFont="1" applyBorder="1"/>
    <xf numFmtId="165" fontId="19" fillId="25" borderId="59" xfId="2" applyFont="1" applyFill="1" applyBorder="1"/>
    <xf numFmtId="0" fontId="19" fillId="8" borderId="92" xfId="0" applyFont="1" applyFill="1" applyBorder="1"/>
    <xf numFmtId="0" fontId="19" fillId="8" borderId="28" xfId="0" applyFont="1" applyFill="1" applyBorder="1"/>
    <xf numFmtId="165" fontId="19" fillId="0" borderId="56" xfId="2" applyFont="1" applyBorder="1"/>
    <xf numFmtId="0" fontId="18" fillId="0" borderId="0" xfId="0" applyFont="1" applyAlignment="1" applyProtection="1">
      <alignment vertical="center"/>
      <protection locked="0"/>
    </xf>
    <xf numFmtId="41" fontId="18" fillId="0" borderId="0" xfId="1" applyNumberFormat="1" applyFont="1" applyFill="1" applyAlignment="1" applyProtection="1">
      <alignment vertical="center"/>
      <protection locked="0"/>
    </xf>
    <xf numFmtId="0" fontId="19" fillId="0" borderId="0" xfId="0" applyFont="1" applyAlignment="1">
      <alignment vertical="center"/>
    </xf>
    <xf numFmtId="41" fontId="18" fillId="0" borderId="0" xfId="0" applyNumberFormat="1" applyFont="1" applyAlignment="1" applyProtection="1">
      <alignment vertical="center"/>
      <protection locked="0"/>
    </xf>
    <xf numFmtId="0" fontId="16" fillId="2" borderId="17" xfId="0" applyFont="1" applyFill="1" applyBorder="1" applyAlignment="1">
      <alignment horizontal="center" vertical="center" wrapText="1"/>
    </xf>
    <xf numFmtId="0" fontId="18" fillId="11" borderId="12" xfId="0" applyFont="1" applyFill="1" applyBorder="1" applyAlignment="1">
      <alignment horizontal="left" vertical="center" wrapText="1"/>
    </xf>
    <xf numFmtId="0" fontId="18" fillId="11" borderId="8" xfId="0" applyFont="1" applyFill="1" applyBorder="1" applyAlignment="1">
      <alignment horizontal="left" vertical="center" wrapText="1"/>
    </xf>
    <xf numFmtId="9" fontId="5" fillId="0" borderId="0" xfId="4" applyFont="1"/>
    <xf numFmtId="0" fontId="44" fillId="39" borderId="10" xfId="0" applyFont="1" applyFill="1" applyBorder="1" applyAlignment="1">
      <alignment horizontal="center" vertical="center"/>
    </xf>
    <xf numFmtId="165" fontId="44" fillId="39" borderId="0" xfId="2" applyFont="1" applyFill="1" applyBorder="1" applyAlignment="1">
      <alignment horizontal="center" vertical="center"/>
    </xf>
    <xf numFmtId="0" fontId="44" fillId="39" borderId="84" xfId="0" applyFont="1" applyFill="1" applyBorder="1" applyAlignment="1">
      <alignment horizontal="center" vertical="center"/>
    </xf>
    <xf numFmtId="0" fontId="45" fillId="39" borderId="84" xfId="0" applyFont="1" applyFill="1" applyBorder="1" applyAlignment="1">
      <alignment vertical="center"/>
    </xf>
    <xf numFmtId="0" fontId="46" fillId="0" borderId="85" xfId="0" applyFont="1" applyBorder="1" applyAlignment="1">
      <alignment vertical="center"/>
    </xf>
    <xf numFmtId="0" fontId="46" fillId="0" borderId="0" xfId="0" applyFont="1" applyAlignment="1">
      <alignment vertical="center"/>
    </xf>
    <xf numFmtId="0" fontId="47" fillId="40" borderId="62" xfId="0" applyFont="1" applyFill="1" applyBorder="1" applyAlignment="1">
      <alignment horizontal="center" vertical="center"/>
    </xf>
    <xf numFmtId="0" fontId="44" fillId="40" borderId="62" xfId="0" applyFont="1" applyFill="1" applyBorder="1" applyAlignment="1">
      <alignment horizontal="center" vertical="center"/>
    </xf>
    <xf numFmtId="0" fontId="45" fillId="40" borderId="3" xfId="0" applyFont="1" applyFill="1" applyBorder="1" applyAlignment="1">
      <alignment vertical="center"/>
    </xf>
    <xf numFmtId="0" fontId="48" fillId="0" borderId="95" xfId="0" applyFont="1" applyBorder="1" applyAlignment="1">
      <alignment vertical="center"/>
    </xf>
    <xf numFmtId="165" fontId="46" fillId="0" borderId="35" xfId="2" applyFont="1" applyBorder="1" applyAlignment="1">
      <alignment horizontal="center" vertical="center"/>
    </xf>
    <xf numFmtId="165" fontId="46" fillId="0" borderId="36" xfId="2" applyFont="1" applyBorder="1" applyAlignment="1">
      <alignment horizontal="center" vertical="center"/>
    </xf>
    <xf numFmtId="0" fontId="46" fillId="0" borderId="36" xfId="0" applyFont="1" applyBorder="1" applyAlignment="1">
      <alignment horizontal="center" vertical="center"/>
    </xf>
    <xf numFmtId="0" fontId="46" fillId="0" borderId="32" xfId="0" applyFont="1" applyBorder="1" applyAlignment="1">
      <alignment vertical="center"/>
    </xf>
    <xf numFmtId="0" fontId="46" fillId="0" borderId="6" xfId="0" applyFont="1" applyBorder="1" applyAlignment="1">
      <alignment vertical="center"/>
    </xf>
    <xf numFmtId="0" fontId="46" fillId="0" borderId="10" xfId="0" applyFont="1" applyBorder="1" applyAlignment="1">
      <alignment vertical="center"/>
    </xf>
    <xf numFmtId="0" fontId="46" fillId="0" borderId="84" xfId="0" applyFont="1" applyBorder="1" applyAlignment="1">
      <alignment vertical="center"/>
    </xf>
    <xf numFmtId="9" fontId="46" fillId="0" borderId="84" xfId="4" applyFont="1" applyBorder="1" applyAlignment="1">
      <alignment vertical="center"/>
    </xf>
    <xf numFmtId="0" fontId="46" fillId="0" borderId="91" xfId="0" applyFont="1" applyBorder="1" applyAlignment="1">
      <alignment vertical="center"/>
    </xf>
    <xf numFmtId="165" fontId="46" fillId="0" borderId="34" xfId="2" applyFont="1" applyBorder="1" applyAlignment="1">
      <alignment vertical="center"/>
    </xf>
    <xf numFmtId="165" fontId="46" fillId="0" borderId="0" xfId="2" applyFont="1" applyBorder="1" applyAlignment="1">
      <alignment vertical="center"/>
    </xf>
    <xf numFmtId="165" fontId="46" fillId="0" borderId="0" xfId="2" applyFont="1" applyFill="1" applyBorder="1" applyAlignment="1">
      <alignment vertical="center"/>
    </xf>
    <xf numFmtId="165" fontId="46" fillId="25" borderId="0" xfId="2" applyFont="1" applyFill="1" applyBorder="1" applyAlignment="1">
      <alignment vertical="center"/>
    </xf>
    <xf numFmtId="165" fontId="46" fillId="0" borderId="37" xfId="0" applyNumberFormat="1" applyFont="1" applyBorder="1" applyAlignment="1">
      <alignment vertical="center"/>
    </xf>
    <xf numFmtId="165" fontId="46" fillId="0" borderId="0" xfId="2" applyFont="1" applyAlignment="1">
      <alignment vertical="center"/>
    </xf>
    <xf numFmtId="0" fontId="46" fillId="0" borderId="19" xfId="0" applyFont="1" applyBorder="1" applyAlignment="1">
      <alignment vertical="center"/>
    </xf>
    <xf numFmtId="165" fontId="46" fillId="6" borderId="69" xfId="0" applyNumberFormat="1" applyFont="1" applyFill="1" applyBorder="1" applyAlignment="1">
      <alignment vertical="center"/>
    </xf>
    <xf numFmtId="170" fontId="46" fillId="0" borderId="0" xfId="0" applyNumberFormat="1" applyFont="1" applyAlignment="1">
      <alignment vertical="center"/>
    </xf>
    <xf numFmtId="165" fontId="46" fillId="6" borderId="70" xfId="0" applyNumberFormat="1" applyFont="1" applyFill="1" applyBorder="1" applyAlignment="1">
      <alignment vertical="center"/>
    </xf>
    <xf numFmtId="165" fontId="46" fillId="6" borderId="71" xfId="0" applyNumberFormat="1" applyFont="1" applyFill="1" applyBorder="1" applyAlignment="1">
      <alignment vertical="center"/>
    </xf>
    <xf numFmtId="165" fontId="46" fillId="0" borderId="0" xfId="0" applyNumberFormat="1" applyFont="1" applyAlignment="1">
      <alignment vertical="center"/>
    </xf>
    <xf numFmtId="165" fontId="46" fillId="0" borderId="57" xfId="0" applyNumberFormat="1" applyFont="1" applyBorder="1" applyAlignment="1">
      <alignment vertical="center"/>
    </xf>
    <xf numFmtId="165" fontId="46" fillId="0" borderId="58" xfId="0" applyNumberFormat="1" applyFont="1" applyBorder="1" applyAlignment="1">
      <alignment vertical="center"/>
    </xf>
    <xf numFmtId="170" fontId="46" fillId="0" borderId="58" xfId="0" applyNumberFormat="1" applyFont="1" applyBorder="1" applyAlignment="1">
      <alignment vertical="center"/>
    </xf>
    <xf numFmtId="165" fontId="46" fillId="37" borderId="0" xfId="2" applyFont="1" applyFill="1" applyBorder="1" applyAlignment="1">
      <alignment vertical="center"/>
    </xf>
    <xf numFmtId="0" fontId="27" fillId="24" borderId="19" xfId="0" applyFont="1" applyFill="1" applyBorder="1" applyAlignment="1">
      <alignment vertical="center"/>
    </xf>
    <xf numFmtId="0" fontId="46" fillId="24" borderId="0" xfId="0" applyFont="1" applyFill="1" applyAlignment="1">
      <alignment vertical="center"/>
    </xf>
    <xf numFmtId="0" fontId="23" fillId="24" borderId="0" xfId="0" applyFont="1" applyFill="1" applyAlignment="1">
      <alignment vertical="center"/>
    </xf>
    <xf numFmtId="0" fontId="23" fillId="0" borderId="0" xfId="0" applyFont="1" applyAlignment="1">
      <alignment vertical="center"/>
    </xf>
    <xf numFmtId="0" fontId="23" fillId="0" borderId="6" xfId="0" applyFont="1" applyBorder="1" applyAlignment="1">
      <alignment vertical="center"/>
    </xf>
    <xf numFmtId="0" fontId="23" fillId="0" borderId="19" xfId="0" applyFont="1" applyBorder="1" applyAlignment="1">
      <alignment vertical="center"/>
    </xf>
    <xf numFmtId="0" fontId="48" fillId="24" borderId="19" xfId="0" applyFont="1" applyFill="1" applyBorder="1" applyAlignment="1">
      <alignment vertical="center"/>
    </xf>
    <xf numFmtId="0" fontId="46" fillId="0" borderId="60" xfId="0" applyFont="1" applyBorder="1" applyAlignment="1">
      <alignment vertical="center"/>
    </xf>
    <xf numFmtId="165" fontId="46" fillId="0" borderId="29" xfId="2" applyFont="1" applyBorder="1" applyAlignment="1">
      <alignment vertical="center"/>
    </xf>
    <xf numFmtId="165" fontId="46" fillId="0" borderId="20" xfId="2" applyFont="1" applyBorder="1" applyAlignment="1">
      <alignment vertical="center"/>
    </xf>
    <xf numFmtId="165" fontId="46" fillId="0" borderId="20" xfId="2" applyFont="1" applyFill="1" applyBorder="1" applyAlignment="1">
      <alignment vertical="center"/>
    </xf>
    <xf numFmtId="165" fontId="46" fillId="25" borderId="20" xfId="2" applyFont="1" applyFill="1" applyBorder="1" applyAlignment="1">
      <alignment vertical="center"/>
    </xf>
    <xf numFmtId="0" fontId="46" fillId="24" borderId="19" xfId="0" applyFont="1" applyFill="1" applyBorder="1" applyAlignment="1">
      <alignment vertical="center"/>
    </xf>
    <xf numFmtId="0" fontId="23" fillId="0" borderId="84" xfId="0" applyFont="1" applyBorder="1" applyAlignment="1">
      <alignment vertical="center"/>
    </xf>
    <xf numFmtId="0" fontId="23" fillId="0" borderId="85" xfId="0" applyFont="1" applyBorder="1" applyAlignment="1">
      <alignment vertical="center"/>
    </xf>
    <xf numFmtId="0" fontId="44" fillId="39" borderId="19" xfId="0" applyFont="1" applyFill="1" applyBorder="1" applyAlignment="1">
      <alignment horizontal="center" vertical="center"/>
    </xf>
    <xf numFmtId="0" fontId="44" fillId="39" borderId="0" xfId="0" applyFont="1" applyFill="1" applyAlignment="1">
      <alignment horizontal="center" vertical="center"/>
    </xf>
    <xf numFmtId="0" fontId="45" fillId="39" borderId="0" xfId="0" applyFont="1" applyFill="1" applyAlignment="1">
      <alignment vertical="center"/>
    </xf>
    <xf numFmtId="0" fontId="46" fillId="0" borderId="95" xfId="0" applyFont="1" applyBorder="1" applyAlignment="1">
      <alignment vertical="center"/>
    </xf>
    <xf numFmtId="165" fontId="46" fillId="0" borderId="36" xfId="2" applyFont="1" applyBorder="1" applyAlignment="1">
      <alignment vertical="center"/>
    </xf>
    <xf numFmtId="165" fontId="46" fillId="25" borderId="36" xfId="2" applyFont="1" applyFill="1" applyBorder="1" applyAlignment="1">
      <alignment vertical="center"/>
    </xf>
    <xf numFmtId="165" fontId="46" fillId="0" borderId="32" xfId="2" applyFont="1" applyBorder="1" applyAlignment="1">
      <alignment vertical="center"/>
    </xf>
    <xf numFmtId="165" fontId="46" fillId="0" borderId="37" xfId="2" applyFont="1" applyBorder="1" applyAlignment="1">
      <alignment vertical="center"/>
    </xf>
    <xf numFmtId="9" fontId="46" fillId="0" borderId="0" xfId="4" applyFont="1" applyFill="1" applyAlignment="1">
      <alignment vertical="center"/>
    </xf>
    <xf numFmtId="9" fontId="46" fillId="0" borderId="0" xfId="4" applyFont="1" applyAlignment="1">
      <alignment vertical="center"/>
    </xf>
    <xf numFmtId="165" fontId="46" fillId="0" borderId="31" xfId="2" applyFont="1" applyBorder="1" applyAlignment="1">
      <alignment vertical="center"/>
    </xf>
    <xf numFmtId="165" fontId="46" fillId="0" borderId="58" xfId="2" applyFont="1" applyBorder="1" applyAlignment="1">
      <alignment vertical="center"/>
    </xf>
    <xf numFmtId="0" fontId="44" fillId="40" borderId="19" xfId="0" applyFont="1" applyFill="1" applyBorder="1" applyAlignment="1">
      <alignment horizontal="center" vertical="center"/>
    </xf>
    <xf numFmtId="165" fontId="45" fillId="40" borderId="0" xfId="2" applyFont="1" applyFill="1" applyBorder="1" applyAlignment="1">
      <alignment vertical="center"/>
    </xf>
    <xf numFmtId="0" fontId="44" fillId="40" borderId="0" xfId="0" applyFont="1" applyFill="1" applyAlignment="1">
      <alignment horizontal="center" vertical="center"/>
    </xf>
    <xf numFmtId="0" fontId="45" fillId="40" borderId="0" xfId="0" applyFont="1" applyFill="1" applyAlignment="1">
      <alignment vertical="center"/>
    </xf>
    <xf numFmtId="0" fontId="46" fillId="0" borderId="35" xfId="0" applyFont="1" applyBorder="1" applyAlignment="1">
      <alignment vertical="center"/>
    </xf>
    <xf numFmtId="0" fontId="46" fillId="0" borderId="34" xfId="0" applyFont="1" applyBorder="1" applyAlignment="1">
      <alignment vertical="center"/>
    </xf>
    <xf numFmtId="0" fontId="46" fillId="0" borderId="29" xfId="0" applyFont="1" applyBorder="1" applyAlignment="1">
      <alignment vertical="center"/>
    </xf>
    <xf numFmtId="0" fontId="46" fillId="0" borderId="9" xfId="0" applyFont="1" applyBorder="1" applyAlignment="1">
      <alignment vertical="center"/>
    </xf>
    <xf numFmtId="165" fontId="46" fillId="0" borderId="65" xfId="2" applyFont="1" applyBorder="1" applyAlignment="1">
      <alignment vertical="center"/>
    </xf>
    <xf numFmtId="0" fontId="46" fillId="0" borderId="65" xfId="0" applyFont="1" applyBorder="1" applyAlignment="1">
      <alignment vertical="center"/>
    </xf>
    <xf numFmtId="0" fontId="46" fillId="0" borderId="4" xfId="0" applyFont="1" applyBorder="1" applyAlignment="1">
      <alignment vertical="center"/>
    </xf>
    <xf numFmtId="0" fontId="45" fillId="41" borderId="0" xfId="0" applyFont="1" applyFill="1" applyAlignment="1">
      <alignment vertical="center"/>
    </xf>
    <xf numFmtId="165" fontId="49" fillId="41" borderId="0" xfId="2" applyFont="1" applyFill="1" applyAlignment="1">
      <alignment vertical="center"/>
    </xf>
    <xf numFmtId="165" fontId="45" fillId="41" borderId="0" xfId="2" applyFont="1" applyFill="1" applyAlignment="1">
      <alignment vertical="center"/>
    </xf>
    <xf numFmtId="0" fontId="23" fillId="0" borderId="10" xfId="0" applyFont="1" applyBorder="1"/>
    <xf numFmtId="0" fontId="23" fillId="0" borderId="19" xfId="0" applyFont="1" applyBorder="1"/>
    <xf numFmtId="165" fontId="23" fillId="0" borderId="19" xfId="0" applyNumberFormat="1" applyFont="1" applyBorder="1"/>
    <xf numFmtId="0" fontId="50" fillId="42" borderId="0" xfId="0" applyFont="1" applyFill="1" applyAlignment="1">
      <alignment vertical="center"/>
    </xf>
    <xf numFmtId="165" fontId="51" fillId="42" borderId="19" xfId="0" applyNumberFormat="1" applyFont="1" applyFill="1" applyBorder="1"/>
    <xf numFmtId="0" fontId="51" fillId="42" borderId="0" xfId="0" applyFont="1" applyFill="1" applyAlignment="1">
      <alignment vertical="center"/>
    </xf>
    <xf numFmtId="0" fontId="51" fillId="42" borderId="6" xfId="0" applyFont="1" applyFill="1" applyBorder="1" applyAlignment="1">
      <alignment vertical="center"/>
    </xf>
    <xf numFmtId="0" fontId="14" fillId="8" borderId="3" xfId="0" applyFont="1" applyFill="1" applyBorder="1" applyAlignment="1">
      <alignment vertical="top"/>
    </xf>
    <xf numFmtId="0" fontId="15" fillId="44" borderId="7" xfId="0" applyFont="1" applyFill="1" applyBorder="1"/>
    <xf numFmtId="0" fontId="0" fillId="44" borderId="3" xfId="0" applyFill="1" applyBorder="1"/>
    <xf numFmtId="0" fontId="18" fillId="9" borderId="12" xfId="0" quotePrefix="1" applyFont="1" applyFill="1" applyBorder="1" applyAlignment="1">
      <alignment vertical="center" wrapText="1"/>
    </xf>
    <xf numFmtId="0" fontId="18" fillId="9" borderId="11" xfId="0" applyFont="1" applyFill="1" applyBorder="1" applyAlignment="1">
      <alignment horizontal="left" vertical="center" wrapText="1"/>
    </xf>
    <xf numFmtId="0" fontId="18" fillId="9" borderId="13" xfId="0" applyFont="1" applyFill="1" applyBorder="1" applyAlignment="1">
      <alignment vertical="center" wrapText="1"/>
    </xf>
    <xf numFmtId="0" fontId="18" fillId="9" borderId="8" xfId="0" quotePrefix="1" applyFont="1" applyFill="1" applyBorder="1" applyAlignment="1">
      <alignment horizontal="left" vertical="center" wrapText="1"/>
    </xf>
    <xf numFmtId="0" fontId="18" fillId="9" borderId="14" xfId="0" applyFont="1" applyFill="1" applyBorder="1" applyAlignment="1">
      <alignment horizontal="left" vertical="center" wrapText="1"/>
    </xf>
    <xf numFmtId="0" fontId="18" fillId="9" borderId="15" xfId="0" applyFont="1" applyFill="1" applyBorder="1" applyAlignment="1">
      <alignment vertical="center" wrapText="1"/>
    </xf>
    <xf numFmtId="0" fontId="18" fillId="9" borderId="17" xfId="0" applyFont="1" applyFill="1" applyBorder="1" applyAlignment="1">
      <alignment vertical="center" wrapText="1"/>
    </xf>
    <xf numFmtId="0" fontId="18" fillId="9" borderId="16" xfId="0" applyFont="1" applyFill="1" applyBorder="1" applyAlignment="1">
      <alignment horizontal="left" vertical="center" wrapText="1"/>
    </xf>
    <xf numFmtId="0" fontId="18" fillId="9" borderId="18" xfId="0" applyFont="1" applyFill="1" applyBorder="1" applyAlignment="1">
      <alignment vertical="center" wrapText="1"/>
    </xf>
    <xf numFmtId="0" fontId="18" fillId="11" borderId="11" xfId="0" applyFont="1" applyFill="1" applyBorder="1" applyAlignment="1">
      <alignment horizontal="left" vertical="center" wrapText="1"/>
    </xf>
    <xf numFmtId="0" fontId="18" fillId="11" borderId="13" xfId="0" applyFont="1" applyFill="1" applyBorder="1" applyAlignment="1">
      <alignment horizontal="left" vertical="center" wrapText="1"/>
    </xf>
    <xf numFmtId="0" fontId="18" fillId="11" borderId="14" xfId="0" applyFont="1" applyFill="1" applyBorder="1" applyAlignment="1">
      <alignment horizontal="left" vertical="center" wrapText="1"/>
    </xf>
    <xf numFmtId="0" fontId="18" fillId="11" borderId="15" xfId="0" applyFont="1" applyFill="1" applyBorder="1" applyAlignment="1">
      <alignment horizontal="left" vertical="center" wrapText="1"/>
    </xf>
    <xf numFmtId="0" fontId="18" fillId="11" borderId="17" xfId="0" applyFont="1" applyFill="1" applyBorder="1" applyAlignment="1">
      <alignment horizontal="left" vertical="center" wrapText="1"/>
    </xf>
    <xf numFmtId="0" fontId="18" fillId="11" borderId="16" xfId="0" applyFont="1" applyFill="1" applyBorder="1" applyAlignment="1">
      <alignment horizontal="left" vertical="center" wrapText="1"/>
    </xf>
    <xf numFmtId="0" fontId="18" fillId="11" borderId="18" xfId="0" applyFont="1" applyFill="1" applyBorder="1" applyAlignment="1">
      <alignment horizontal="left" vertical="center" wrapText="1"/>
    </xf>
    <xf numFmtId="0" fontId="17" fillId="12" borderId="60" xfId="0" applyFont="1" applyFill="1" applyBorder="1" applyAlignment="1">
      <alignment horizontal="center" vertical="center" wrapText="1"/>
    </xf>
    <xf numFmtId="0" fontId="18" fillId="12" borderId="59" xfId="0" applyFont="1" applyFill="1" applyBorder="1" applyAlignment="1">
      <alignment horizontal="center" vertical="center" wrapText="1"/>
    </xf>
    <xf numFmtId="0" fontId="18" fillId="12" borderId="59" xfId="0" applyFont="1" applyFill="1" applyBorder="1" applyAlignment="1">
      <alignment horizontal="left" vertical="center" wrapText="1"/>
    </xf>
    <xf numFmtId="9" fontId="18" fillId="12" borderId="59" xfId="0" applyNumberFormat="1" applyFont="1" applyFill="1" applyBorder="1" applyAlignment="1">
      <alignment horizontal="center" vertical="center" wrapText="1"/>
    </xf>
    <xf numFmtId="0" fontId="18" fillId="10" borderId="61" xfId="0" applyFont="1" applyFill="1" applyBorder="1" applyAlignment="1">
      <alignment horizontal="left" vertical="center" wrapText="1"/>
    </xf>
    <xf numFmtId="0" fontId="18" fillId="12" borderId="11" xfId="0" applyFont="1" applyFill="1" applyBorder="1" applyAlignment="1">
      <alignment horizontal="left" vertical="center" wrapText="1"/>
    </xf>
    <xf numFmtId="0" fontId="18" fillId="12" borderId="13" xfId="0" applyFont="1" applyFill="1" applyBorder="1" applyAlignment="1">
      <alignment horizontal="left" vertical="center" wrapText="1"/>
    </xf>
    <xf numFmtId="0" fontId="18" fillId="12" borderId="14" xfId="0" applyFont="1" applyFill="1" applyBorder="1" applyAlignment="1">
      <alignment horizontal="left" vertical="center" wrapText="1"/>
    </xf>
    <xf numFmtId="0" fontId="18" fillId="12" borderId="15" xfId="0" applyFont="1" applyFill="1" applyBorder="1" applyAlignment="1">
      <alignment horizontal="left" vertical="center" wrapText="1"/>
    </xf>
    <xf numFmtId="0" fontId="18" fillId="12" borderId="33" xfId="0" applyFont="1" applyFill="1" applyBorder="1" applyAlignment="1">
      <alignment horizontal="center" vertical="center" wrapText="1"/>
    </xf>
    <xf numFmtId="0" fontId="18" fillId="12" borderId="33" xfId="0" applyFont="1" applyFill="1" applyBorder="1" applyAlignment="1">
      <alignment horizontal="left" vertical="center" wrapText="1"/>
    </xf>
    <xf numFmtId="9" fontId="18" fillId="12" borderId="33" xfId="0" applyNumberFormat="1" applyFont="1" applyFill="1" applyBorder="1" applyAlignment="1">
      <alignment horizontal="center" vertical="center" wrapText="1"/>
    </xf>
    <xf numFmtId="0" fontId="18" fillId="10" borderId="96" xfId="0" applyFont="1" applyFill="1" applyBorder="1" applyAlignment="1">
      <alignment horizontal="left" vertical="center" wrapText="1"/>
    </xf>
    <xf numFmtId="0" fontId="18" fillId="12" borderId="16" xfId="0" applyFont="1" applyFill="1" applyBorder="1" applyAlignment="1">
      <alignment horizontal="left" vertical="center" wrapText="1"/>
    </xf>
    <xf numFmtId="0" fontId="18" fillId="12" borderId="18" xfId="0" applyFont="1" applyFill="1" applyBorder="1" applyAlignment="1">
      <alignment horizontal="left" vertical="center" wrapText="1"/>
    </xf>
    <xf numFmtId="0" fontId="16" fillId="0" borderId="122" xfId="0" applyFont="1" applyBorder="1" applyAlignment="1">
      <alignment horizontal="center" vertical="center" wrapText="1"/>
    </xf>
    <xf numFmtId="0" fontId="19" fillId="9" borderId="1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2" xfId="0" applyFont="1" applyFill="1" applyBorder="1" applyAlignment="1">
      <alignment horizontal="left" vertical="center" wrapText="1"/>
    </xf>
    <xf numFmtId="0" fontId="19" fillId="9" borderId="12" xfId="0" applyFont="1" applyFill="1" applyBorder="1" applyAlignment="1">
      <alignment horizontal="center" vertical="center"/>
    </xf>
    <xf numFmtId="0" fontId="19" fillId="9" borderId="11" xfId="0" applyFont="1" applyFill="1" applyBorder="1" applyAlignment="1">
      <alignment horizontal="left" vertical="center" wrapText="1"/>
    </xf>
    <xf numFmtId="0" fontId="19" fillId="9" borderId="13" xfId="0" applyFont="1" applyFill="1" applyBorder="1" applyAlignment="1">
      <alignment horizontal="left" vertical="center" wrapText="1"/>
    </xf>
    <xf numFmtId="0" fontId="16" fillId="0" borderId="134" xfId="0" applyFont="1" applyBorder="1" applyAlignment="1">
      <alignment horizontal="center" vertical="center" wrapText="1"/>
    </xf>
    <xf numFmtId="0" fontId="19" fillId="9" borderId="16" xfId="0" applyFont="1" applyFill="1" applyBorder="1" applyAlignment="1">
      <alignment horizontal="center" vertical="center" wrapText="1"/>
    </xf>
    <xf numFmtId="0" fontId="19" fillId="9" borderId="16" xfId="0" applyFont="1" applyFill="1" applyBorder="1" applyAlignment="1">
      <alignment horizontal="left" vertical="center" wrapText="1"/>
    </xf>
    <xf numFmtId="0" fontId="19" fillId="9" borderId="18" xfId="0" applyFont="1" applyFill="1" applyBorder="1" applyAlignment="1">
      <alignment horizontal="left" vertical="center" wrapText="1"/>
    </xf>
    <xf numFmtId="0" fontId="34" fillId="8" borderId="7" xfId="0" applyFont="1" applyFill="1" applyBorder="1" applyAlignment="1">
      <alignment vertical="center" wrapText="1"/>
    </xf>
    <xf numFmtId="0" fontId="19" fillId="11" borderId="11" xfId="0" applyFont="1" applyFill="1" applyBorder="1" applyAlignment="1">
      <alignment horizontal="center" vertical="center" wrapText="1"/>
    </xf>
    <xf numFmtId="0" fontId="19" fillId="11" borderId="11" xfId="0" applyFont="1" applyFill="1" applyBorder="1" applyAlignment="1">
      <alignment horizontal="left" vertical="center" wrapText="1"/>
    </xf>
    <xf numFmtId="0" fontId="19" fillId="11" borderId="13" xfId="0" applyFont="1" applyFill="1" applyBorder="1" applyAlignment="1">
      <alignment horizontal="left" vertical="center" wrapText="1"/>
    </xf>
    <xf numFmtId="0" fontId="19" fillId="11" borderId="16" xfId="0" applyFont="1" applyFill="1" applyBorder="1" applyAlignment="1">
      <alignment horizontal="center" vertical="center"/>
    </xf>
    <xf numFmtId="0" fontId="19" fillId="11" borderId="16" xfId="0" applyFont="1" applyFill="1" applyBorder="1" applyAlignment="1">
      <alignment horizontal="left" vertical="center" wrapText="1"/>
    </xf>
    <xf numFmtId="0" fontId="19" fillId="11" borderId="18" xfId="0" applyFont="1" applyFill="1" applyBorder="1" applyAlignment="1">
      <alignment horizontal="left" vertical="center" wrapText="1"/>
    </xf>
    <xf numFmtId="0" fontId="19" fillId="12" borderId="12" xfId="0" applyFont="1" applyFill="1" applyBorder="1" applyAlignment="1">
      <alignment horizontal="center" vertical="center"/>
    </xf>
    <xf numFmtId="0" fontId="19" fillId="12" borderId="11" xfId="0" applyFont="1" applyFill="1" applyBorder="1" applyAlignment="1">
      <alignment horizontal="left" vertical="center" wrapText="1"/>
    </xf>
    <xf numFmtId="0" fontId="19" fillId="12" borderId="13" xfId="0" applyFont="1" applyFill="1" applyBorder="1" applyAlignment="1">
      <alignment horizontal="left" vertical="center" wrapText="1"/>
    </xf>
    <xf numFmtId="0" fontId="19" fillId="12" borderId="16" xfId="0" applyFont="1" applyFill="1" applyBorder="1" applyAlignment="1">
      <alignment horizontal="left" vertical="center" wrapText="1"/>
    </xf>
    <xf numFmtId="0" fontId="19" fillId="12" borderId="18" xfId="0" applyFont="1" applyFill="1" applyBorder="1" applyAlignment="1">
      <alignment horizontal="left" vertical="center" wrapText="1"/>
    </xf>
    <xf numFmtId="0" fontId="19" fillId="13" borderId="12" xfId="0" applyFont="1" applyFill="1" applyBorder="1" applyAlignment="1">
      <alignment horizontal="center" vertical="center"/>
    </xf>
    <xf numFmtId="0" fontId="19" fillId="13" borderId="11" xfId="0" applyFont="1" applyFill="1" applyBorder="1" applyAlignment="1">
      <alignment horizontal="left" vertical="center" wrapText="1"/>
    </xf>
    <xf numFmtId="0" fontId="19" fillId="13" borderId="13" xfId="0" applyFont="1" applyFill="1" applyBorder="1" applyAlignment="1">
      <alignment horizontal="left" vertical="center" wrapText="1"/>
    </xf>
    <xf numFmtId="0" fontId="34" fillId="8" borderId="0" xfId="5" applyFont="1" applyFill="1" applyAlignment="1">
      <alignment horizontal="center" vertical="center"/>
    </xf>
    <xf numFmtId="10" fontId="34" fillId="0" borderId="0" xfId="4" applyNumberFormat="1" applyFont="1" applyAlignment="1">
      <alignment horizontal="center" vertical="center"/>
    </xf>
    <xf numFmtId="9" fontId="34" fillId="0" borderId="0" xfId="4" applyFont="1" applyAlignment="1">
      <alignment horizontal="center" vertical="center"/>
    </xf>
    <xf numFmtId="0" fontId="34" fillId="3" borderId="0" xfId="0" applyFont="1" applyFill="1"/>
    <xf numFmtId="0" fontId="19" fillId="3" borderId="0" xfId="0" applyFont="1" applyFill="1"/>
    <xf numFmtId="0" fontId="52" fillId="0" borderId="20" xfId="0" applyFont="1" applyBorder="1" applyAlignment="1">
      <alignment horizontal="left"/>
    </xf>
    <xf numFmtId="0" fontId="53" fillId="0" borderId="0" xfId="0" applyFont="1"/>
    <xf numFmtId="0" fontId="55" fillId="45" borderId="19" xfId="0" applyFont="1" applyFill="1" applyBorder="1"/>
    <xf numFmtId="0" fontId="55" fillId="45" borderId="0" xfId="0" applyFont="1" applyFill="1" applyAlignment="1">
      <alignment horizontal="center"/>
    </xf>
    <xf numFmtId="0" fontId="55" fillId="45" borderId="6" xfId="0" applyFont="1" applyFill="1" applyBorder="1" applyAlignment="1">
      <alignment horizontal="center"/>
    </xf>
    <xf numFmtId="17" fontId="54" fillId="45" borderId="0" xfId="0" quotePrefix="1" applyNumberFormat="1" applyFont="1" applyFill="1" applyAlignment="1">
      <alignment horizontal="center"/>
    </xf>
    <xf numFmtId="175" fontId="56" fillId="46" borderId="8" xfId="8" applyNumberFormat="1" applyFont="1" applyFill="1" applyBorder="1" applyAlignment="1" applyProtection="1">
      <alignment horizontal="center" vertical="center"/>
      <protection hidden="1"/>
    </xf>
    <xf numFmtId="175" fontId="56" fillId="46" borderId="15" xfId="8" applyNumberFormat="1" applyFont="1" applyFill="1" applyBorder="1" applyAlignment="1" applyProtection="1">
      <alignment horizontal="center" vertical="center"/>
      <protection hidden="1"/>
    </xf>
    <xf numFmtId="175" fontId="56" fillId="46" borderId="8" xfId="8" applyNumberFormat="1" applyFont="1" applyFill="1" applyBorder="1" applyAlignment="1" applyProtection="1">
      <alignment horizontal="center" vertical="center" wrapText="1"/>
      <protection hidden="1"/>
    </xf>
    <xf numFmtId="175" fontId="56" fillId="46" borderId="15" xfId="8" applyNumberFormat="1" applyFont="1" applyFill="1" applyBorder="1" applyAlignment="1" applyProtection="1">
      <alignment horizontal="center" vertical="center" wrapText="1"/>
      <protection hidden="1"/>
    </xf>
    <xf numFmtId="175" fontId="57" fillId="0" borderId="14" xfId="8" applyNumberFormat="1" applyFont="1" applyFill="1" applyBorder="1" applyAlignment="1">
      <alignment wrapText="1"/>
    </xf>
    <xf numFmtId="164" fontId="58" fillId="0" borderId="8" xfId="8" applyNumberFormat="1" applyFont="1" applyFill="1" applyBorder="1" applyAlignment="1" applyProtection="1">
      <alignment horizontal="center"/>
      <protection locked="0"/>
    </xf>
    <xf numFmtId="164" fontId="58" fillId="0" borderId="8" xfId="2" applyNumberFormat="1" applyFont="1" applyFill="1" applyBorder="1" applyAlignment="1" applyProtection="1">
      <alignment horizontal="center"/>
      <protection locked="0"/>
    </xf>
    <xf numFmtId="164" fontId="58" fillId="0" borderId="15" xfId="8" applyNumberFormat="1" applyFont="1" applyFill="1" applyBorder="1" applyAlignment="1" applyProtection="1">
      <alignment horizontal="center"/>
      <protection locked="0"/>
    </xf>
    <xf numFmtId="175" fontId="59" fillId="45" borderId="14" xfId="8" applyNumberFormat="1" applyFont="1" applyFill="1" applyBorder="1"/>
    <xf numFmtId="164" fontId="60" fillId="45" borderId="8" xfId="8" applyNumberFormat="1" applyFont="1" applyFill="1" applyBorder="1" applyAlignment="1">
      <alignment horizontal="center"/>
    </xf>
    <xf numFmtId="164" fontId="60" fillId="45" borderId="15" xfId="8" applyNumberFormat="1" applyFont="1" applyFill="1" applyBorder="1" applyAlignment="1">
      <alignment horizontal="center"/>
    </xf>
    <xf numFmtId="175" fontId="57" fillId="0" borderId="14" xfId="8" applyNumberFormat="1" applyFont="1" applyFill="1" applyBorder="1"/>
    <xf numFmtId="176" fontId="0" fillId="0" borderId="0" xfId="0" applyNumberFormat="1"/>
    <xf numFmtId="175" fontId="57" fillId="0" borderId="16" xfId="8" applyNumberFormat="1" applyFont="1" applyFill="1" applyBorder="1"/>
    <xf numFmtId="164" fontId="58" fillId="0" borderId="17" xfId="8" applyNumberFormat="1" applyFont="1" applyFill="1" applyBorder="1" applyAlignment="1" applyProtection="1">
      <alignment horizontal="center"/>
      <protection hidden="1"/>
    </xf>
    <xf numFmtId="164" fontId="58" fillId="0" borderId="18" xfId="8" applyNumberFormat="1" applyFont="1" applyFill="1" applyBorder="1" applyAlignment="1" applyProtection="1">
      <alignment horizontal="center"/>
      <protection hidden="1"/>
    </xf>
    <xf numFmtId="175" fontId="58" fillId="22" borderId="122" xfId="7" applyNumberFormat="1" applyFont="1" applyFill="1" applyBorder="1"/>
    <xf numFmtId="164" fontId="58" fillId="22" borderId="12" xfId="8" applyNumberFormat="1" applyFont="1" applyFill="1" applyBorder="1" applyAlignment="1" applyProtection="1">
      <alignment horizontal="center"/>
      <protection locked="0"/>
    </xf>
    <xf numFmtId="164" fontId="58" fillId="22" borderId="13" xfId="8" applyNumberFormat="1" applyFont="1" applyFill="1" applyBorder="1" applyAlignment="1" applyProtection="1">
      <alignment horizontal="center"/>
      <protection locked="0"/>
    </xf>
    <xf numFmtId="175" fontId="58" fillId="22" borderId="135" xfId="7" applyNumberFormat="1" applyFont="1" applyFill="1" applyBorder="1"/>
    <xf numFmtId="164" fontId="58" fillId="22" borderId="8" xfId="8" applyNumberFormat="1" applyFont="1" applyFill="1" applyBorder="1" applyAlignment="1" applyProtection="1">
      <alignment horizontal="center"/>
      <protection locked="0"/>
    </xf>
    <xf numFmtId="164" fontId="58" fillId="22" borderId="15" xfId="8" applyNumberFormat="1" applyFont="1" applyFill="1" applyBorder="1" applyAlignment="1" applyProtection="1">
      <alignment horizontal="center"/>
      <protection locked="0"/>
    </xf>
    <xf numFmtId="175" fontId="58" fillId="22" borderId="134" xfId="7" applyNumberFormat="1" applyFont="1" applyFill="1" applyBorder="1"/>
    <xf numFmtId="164" fontId="58" fillId="22" borderId="17" xfId="8" applyNumberFormat="1" applyFont="1" applyFill="1" applyBorder="1" applyAlignment="1" applyProtection="1">
      <alignment horizontal="center"/>
      <protection locked="0"/>
    </xf>
    <xf numFmtId="164" fontId="58" fillId="22" borderId="18" xfId="8" applyNumberFormat="1" applyFont="1" applyFill="1" applyBorder="1" applyAlignment="1" applyProtection="1">
      <alignment horizontal="center"/>
      <protection locked="0"/>
    </xf>
    <xf numFmtId="175" fontId="57" fillId="0" borderId="60" xfId="8" applyNumberFormat="1" applyFont="1" applyFill="1" applyBorder="1"/>
    <xf numFmtId="164" fontId="58" fillId="0" borderId="59" xfId="8" applyNumberFormat="1" applyFont="1" applyFill="1" applyBorder="1" applyAlignment="1" applyProtection="1">
      <alignment horizontal="center"/>
      <protection locked="0"/>
    </xf>
    <xf numFmtId="164" fontId="58" fillId="0" borderId="61" xfId="8" applyNumberFormat="1" applyFont="1" applyFill="1" applyBorder="1" applyAlignment="1" applyProtection="1">
      <alignment horizontal="center"/>
      <protection locked="0"/>
    </xf>
    <xf numFmtId="164" fontId="58" fillId="47" borderId="8" xfId="8" applyNumberFormat="1" applyFont="1" applyFill="1" applyBorder="1" applyAlignment="1" applyProtection="1">
      <alignment horizontal="center"/>
      <protection locked="0"/>
    </xf>
    <xf numFmtId="164" fontId="58" fillId="47" borderId="15" xfId="8" applyNumberFormat="1" applyFont="1" applyFill="1" applyBorder="1" applyAlignment="1" applyProtection="1">
      <alignment horizontal="center"/>
      <protection locked="0"/>
    </xf>
    <xf numFmtId="164" fontId="58" fillId="0" borderId="8" xfId="8" applyNumberFormat="1" applyFont="1" applyFill="1" applyBorder="1" applyAlignment="1" applyProtection="1">
      <alignment horizontal="center"/>
      <protection hidden="1"/>
    </xf>
    <xf numFmtId="164" fontId="58" fillId="48" borderId="8" xfId="8" applyNumberFormat="1" applyFont="1" applyFill="1" applyBorder="1" applyAlignment="1" applyProtection="1">
      <alignment horizontal="center"/>
      <protection hidden="1"/>
    </xf>
    <xf numFmtId="164" fontId="58" fillId="48" borderId="15" xfId="8" applyNumberFormat="1" applyFont="1" applyFill="1" applyBorder="1" applyAlignment="1" applyProtection="1">
      <alignment horizontal="center"/>
      <protection hidden="1"/>
    </xf>
    <xf numFmtId="164" fontId="58" fillId="0" borderId="15" xfId="8" applyNumberFormat="1" applyFont="1" applyFill="1" applyBorder="1" applyAlignment="1" applyProtection="1">
      <alignment horizontal="center"/>
      <protection hidden="1"/>
    </xf>
    <xf numFmtId="175" fontId="52" fillId="7" borderId="14" xfId="8" applyNumberFormat="1" applyFont="1" applyFill="1" applyBorder="1"/>
    <xf numFmtId="164" fontId="52" fillId="7" borderId="8" xfId="8" applyNumberFormat="1" applyFont="1" applyFill="1" applyBorder="1" applyAlignment="1" applyProtection="1">
      <alignment horizontal="center"/>
      <protection hidden="1"/>
    </xf>
    <xf numFmtId="164" fontId="52" fillId="7" borderId="15" xfId="8" applyNumberFormat="1" applyFont="1" applyFill="1" applyBorder="1" applyAlignment="1" applyProtection="1">
      <alignment horizontal="center"/>
      <protection hidden="1"/>
    </xf>
    <xf numFmtId="175" fontId="57" fillId="0" borderId="95" xfId="8" applyNumberFormat="1" applyFont="1" applyFill="1" applyBorder="1" applyAlignment="1">
      <alignment wrapText="1"/>
    </xf>
    <xf numFmtId="164" fontId="58" fillId="0" borderId="33" xfId="8" applyNumberFormat="1" applyFont="1" applyFill="1" applyBorder="1" applyAlignment="1" applyProtection="1">
      <alignment horizontal="center"/>
      <protection hidden="1"/>
    </xf>
    <xf numFmtId="164" fontId="58" fillId="0" borderId="96" xfId="8" applyNumberFormat="1" applyFont="1" applyFill="1" applyBorder="1" applyAlignment="1" applyProtection="1">
      <alignment horizontal="center"/>
      <protection hidden="1"/>
    </xf>
    <xf numFmtId="176" fontId="61" fillId="0" borderId="0" xfId="8" applyNumberFormat="1" applyFont="1" applyFill="1" applyBorder="1" applyAlignment="1" applyProtection="1">
      <alignment horizontal="center"/>
      <protection hidden="1"/>
    </xf>
    <xf numFmtId="175" fontId="62" fillId="22" borderId="11" xfId="7" applyNumberFormat="1" applyFont="1" applyFill="1" applyBorder="1" applyAlignment="1">
      <alignment wrapText="1"/>
    </xf>
    <xf numFmtId="176" fontId="61" fillId="0" borderId="0" xfId="8" applyNumberFormat="1" applyFont="1" applyFill="1" applyBorder="1" applyAlignment="1" applyProtection="1">
      <alignment horizontal="center"/>
      <protection locked="0"/>
    </xf>
    <xf numFmtId="175" fontId="62" fillId="22" borderId="60" xfId="7" applyNumberFormat="1" applyFont="1" applyFill="1" applyBorder="1" applyAlignment="1">
      <alignment wrapText="1"/>
    </xf>
    <xf numFmtId="164" fontId="58" fillId="22" borderId="59" xfId="8" applyNumberFormat="1" applyFont="1" applyFill="1" applyBorder="1" applyAlignment="1" applyProtection="1">
      <alignment horizontal="center"/>
      <protection locked="0"/>
    </xf>
    <xf numFmtId="164" fontId="58" fillId="22" borderId="61" xfId="8" applyNumberFormat="1" applyFont="1" applyFill="1" applyBorder="1" applyAlignment="1" applyProtection="1">
      <alignment horizontal="center"/>
      <protection locked="0"/>
    </xf>
    <xf numFmtId="175" fontId="62" fillId="22" borderId="14" xfId="7" applyNumberFormat="1" applyFont="1" applyFill="1" applyBorder="1" applyAlignment="1">
      <alignment wrapText="1"/>
    </xf>
    <xf numFmtId="175" fontId="62" fillId="0" borderId="14" xfId="7" applyNumberFormat="1" applyFont="1" applyFill="1" applyBorder="1" applyAlignment="1">
      <alignment wrapText="1"/>
    </xf>
    <xf numFmtId="175" fontId="62" fillId="0" borderId="16" xfId="7" applyNumberFormat="1" applyFont="1" applyFill="1" applyBorder="1" applyAlignment="1">
      <alignment wrapText="1"/>
    </xf>
    <xf numFmtId="164" fontId="58" fillId="0" borderId="17" xfId="8" applyNumberFormat="1" applyFont="1" applyFill="1" applyBorder="1" applyAlignment="1" applyProtection="1">
      <alignment horizontal="center"/>
      <protection locked="0"/>
    </xf>
    <xf numFmtId="164" fontId="58" fillId="0" borderId="18" xfId="8" applyNumberFormat="1" applyFont="1" applyFill="1" applyBorder="1" applyAlignment="1" applyProtection="1">
      <alignment horizontal="center"/>
      <protection locked="0"/>
    </xf>
    <xf numFmtId="175" fontId="57" fillId="22" borderId="16" xfId="8" applyNumberFormat="1" applyFont="1" applyFill="1" applyBorder="1" applyAlignment="1">
      <alignment wrapText="1"/>
    </xf>
    <xf numFmtId="176" fontId="58" fillId="22" borderId="17" xfId="8" applyNumberFormat="1" applyFont="1" applyFill="1" applyBorder="1" applyAlignment="1" applyProtection="1">
      <alignment horizontal="center"/>
      <protection locked="0"/>
    </xf>
    <xf numFmtId="176" fontId="58" fillId="22" borderId="18" xfId="8" applyNumberFormat="1" applyFont="1" applyFill="1" applyBorder="1" applyAlignment="1" applyProtection="1">
      <alignment horizontal="center"/>
      <protection locked="0"/>
    </xf>
    <xf numFmtId="175" fontId="52" fillId="7" borderId="87" xfId="8" applyNumberFormat="1" applyFont="1" applyFill="1" applyBorder="1" applyAlignment="1">
      <alignment wrapText="1"/>
    </xf>
    <xf numFmtId="164" fontId="52" fillId="7" borderId="63" xfId="8" applyNumberFormat="1" applyFont="1" applyFill="1" applyBorder="1" applyAlignment="1" applyProtection="1">
      <alignment horizontal="center"/>
      <protection hidden="1"/>
    </xf>
    <xf numFmtId="164" fontId="52" fillId="7" borderId="90" xfId="8" applyNumberFormat="1" applyFont="1" applyFill="1" applyBorder="1" applyAlignment="1" applyProtection="1">
      <alignment horizontal="center"/>
      <protection hidden="1"/>
    </xf>
    <xf numFmtId="175" fontId="52" fillId="0" borderId="7" xfId="8" applyNumberFormat="1" applyFont="1" applyFill="1" applyBorder="1" applyAlignment="1">
      <alignment wrapText="1"/>
    </xf>
    <xf numFmtId="164" fontId="52" fillId="0" borderId="62" xfId="8" applyNumberFormat="1" applyFont="1" applyFill="1" applyBorder="1" applyAlignment="1" applyProtection="1">
      <alignment horizontal="center"/>
      <protection hidden="1"/>
    </xf>
    <xf numFmtId="164" fontId="52" fillId="0" borderId="3" xfId="8" applyNumberFormat="1" applyFont="1" applyFill="1" applyBorder="1" applyAlignment="1" applyProtection="1">
      <alignment horizontal="center"/>
      <protection hidden="1"/>
    </xf>
    <xf numFmtId="175" fontId="40" fillId="49" borderId="91" xfId="8" applyNumberFormat="1" applyFont="1" applyFill="1" applyBorder="1"/>
    <xf numFmtId="164" fontId="40" fillId="49" borderId="38" xfId="8" applyNumberFormat="1" applyFont="1" applyFill="1" applyBorder="1" applyAlignment="1" applyProtection="1">
      <alignment horizontal="center"/>
      <protection hidden="1"/>
    </xf>
    <xf numFmtId="164" fontId="40" fillId="49" borderId="120" xfId="8" applyNumberFormat="1" applyFont="1" applyFill="1" applyBorder="1" applyAlignment="1" applyProtection="1">
      <alignment horizontal="center"/>
      <protection hidden="1"/>
    </xf>
    <xf numFmtId="175" fontId="40" fillId="0" borderId="7" xfId="8" applyNumberFormat="1" applyFont="1" applyFill="1" applyBorder="1"/>
    <xf numFmtId="164" fontId="40" fillId="0" borderId="62" xfId="8" applyNumberFormat="1" applyFont="1" applyFill="1" applyBorder="1" applyAlignment="1" applyProtection="1">
      <alignment horizontal="center"/>
      <protection hidden="1"/>
    </xf>
    <xf numFmtId="164" fontId="40" fillId="0" borderId="3" xfId="8" applyNumberFormat="1" applyFont="1" applyFill="1" applyBorder="1" applyAlignment="1" applyProtection="1">
      <alignment horizontal="center"/>
      <protection hidden="1"/>
    </xf>
    <xf numFmtId="175" fontId="57" fillId="50" borderId="87" xfId="8" applyNumberFormat="1" applyFont="1" applyFill="1" applyBorder="1" applyAlignment="1">
      <alignment vertical="center"/>
    </xf>
    <xf numFmtId="164" fontId="58" fillId="50" borderId="63" xfId="8" applyNumberFormat="1" applyFont="1" applyFill="1" applyBorder="1" applyAlignment="1">
      <alignment horizontal="center"/>
    </xf>
    <xf numFmtId="164" fontId="58" fillId="50" borderId="90" xfId="8" applyNumberFormat="1" applyFont="1" applyFill="1" applyBorder="1" applyAlignment="1">
      <alignment horizontal="center"/>
    </xf>
    <xf numFmtId="177" fontId="0" fillId="0" borderId="0" xfId="0" applyNumberFormat="1"/>
    <xf numFmtId="175" fontId="57" fillId="22" borderId="11" xfId="8" applyNumberFormat="1" applyFont="1" applyFill="1" applyBorder="1" applyAlignment="1">
      <alignment vertical="center"/>
    </xf>
    <xf numFmtId="164" fontId="58" fillId="22" borderId="12" xfId="8" applyNumberFormat="1" applyFont="1" applyFill="1" applyBorder="1" applyAlignment="1">
      <alignment horizontal="center"/>
    </xf>
    <xf numFmtId="164" fontId="58" fillId="22" borderId="13" xfId="8" applyNumberFormat="1" applyFont="1" applyFill="1" applyBorder="1" applyAlignment="1">
      <alignment horizontal="center"/>
    </xf>
    <xf numFmtId="175" fontId="57" fillId="22" borderId="14" xfId="8" applyNumberFormat="1" applyFont="1" applyFill="1" applyBorder="1" applyAlignment="1">
      <alignment vertical="center"/>
    </xf>
    <xf numFmtId="164" fontId="58" fillId="22" borderId="8" xfId="8" applyNumberFormat="1" applyFont="1" applyFill="1" applyBorder="1" applyAlignment="1">
      <alignment horizontal="center"/>
    </xf>
    <xf numFmtId="164" fontId="58" fillId="22" borderId="15" xfId="8" applyNumberFormat="1" applyFont="1" applyFill="1" applyBorder="1" applyAlignment="1">
      <alignment horizontal="center"/>
    </xf>
    <xf numFmtId="175" fontId="57" fillId="22" borderId="16" xfId="8" applyNumberFormat="1" applyFont="1" applyFill="1" applyBorder="1" applyAlignment="1">
      <alignment vertical="center"/>
    </xf>
    <xf numFmtId="164" fontId="58" fillId="22" borderId="17" xfId="8" applyNumberFormat="1" applyFont="1" applyFill="1" applyBorder="1" applyAlignment="1">
      <alignment horizontal="center"/>
    </xf>
    <xf numFmtId="164" fontId="58" fillId="22" borderId="18" xfId="8" applyNumberFormat="1" applyFont="1" applyFill="1" applyBorder="1" applyAlignment="1">
      <alignment horizontal="center"/>
    </xf>
    <xf numFmtId="0" fontId="0" fillId="0" borderId="19" xfId="0" applyBorder="1" applyAlignment="1">
      <alignment vertical="center"/>
    </xf>
    <xf numFmtId="175" fontId="57" fillId="0" borderId="14" xfId="8" applyNumberFormat="1" applyFont="1" applyFill="1" applyBorder="1" applyAlignment="1">
      <alignment vertical="center"/>
    </xf>
    <xf numFmtId="175" fontId="57" fillId="0" borderId="95" xfId="8" applyNumberFormat="1" applyFont="1" applyFill="1" applyBorder="1" applyAlignment="1">
      <alignment vertical="center"/>
    </xf>
    <xf numFmtId="166" fontId="58" fillId="0" borderId="0" xfId="1" applyFont="1" applyFill="1" applyBorder="1" applyAlignment="1" applyProtection="1">
      <alignment horizontal="center"/>
      <protection hidden="1"/>
    </xf>
    <xf numFmtId="175" fontId="63" fillId="22" borderId="11" xfId="7" applyNumberFormat="1" applyFont="1" applyFill="1" applyBorder="1" applyAlignment="1">
      <alignment vertical="center"/>
    </xf>
    <xf numFmtId="175" fontId="63" fillId="22" borderId="16" xfId="7" applyNumberFormat="1" applyFont="1" applyFill="1" applyBorder="1" applyAlignment="1">
      <alignment vertical="center"/>
    </xf>
    <xf numFmtId="175" fontId="57" fillId="0" borderId="60" xfId="8" applyNumberFormat="1" applyFont="1" applyFill="1" applyBorder="1" applyAlignment="1">
      <alignment vertical="center"/>
    </xf>
    <xf numFmtId="175" fontId="57" fillId="51" borderId="14" xfId="8" applyNumberFormat="1" applyFont="1" applyFill="1" applyBorder="1" applyAlignment="1">
      <alignment vertical="center"/>
    </xf>
    <xf numFmtId="164" fontId="58" fillId="51" borderId="8" xfId="8" applyNumberFormat="1" applyFont="1" applyFill="1" applyBorder="1" applyAlignment="1" applyProtection="1">
      <alignment horizontal="center"/>
      <protection locked="0"/>
    </xf>
    <xf numFmtId="164" fontId="58" fillId="51" borderId="15" xfId="8" applyNumberFormat="1" applyFont="1" applyFill="1" applyBorder="1" applyAlignment="1" applyProtection="1">
      <alignment horizontal="center"/>
      <protection locked="0"/>
    </xf>
    <xf numFmtId="175" fontId="40" fillId="49" borderId="95" xfId="8" applyNumberFormat="1" applyFont="1" applyFill="1" applyBorder="1" applyAlignment="1">
      <alignment vertical="center"/>
    </xf>
    <xf numFmtId="164" fontId="40" fillId="49" borderId="33" xfId="8" applyNumberFormat="1" applyFont="1" applyFill="1" applyBorder="1" applyAlignment="1" applyProtection="1">
      <alignment horizontal="center"/>
      <protection hidden="1"/>
    </xf>
    <xf numFmtId="175" fontId="40" fillId="0" borderId="7" xfId="8" applyNumberFormat="1" applyFont="1" applyFill="1" applyBorder="1" applyAlignment="1">
      <alignment vertical="center"/>
    </xf>
    <xf numFmtId="175" fontId="57" fillId="0" borderId="97" xfId="8" applyNumberFormat="1" applyFont="1" applyFill="1" applyBorder="1" applyAlignment="1">
      <alignment vertical="center"/>
    </xf>
    <xf numFmtId="164" fontId="64" fillId="52" borderId="64" xfId="8" applyNumberFormat="1" applyFont="1" applyFill="1" applyBorder="1" applyAlignment="1" applyProtection="1">
      <alignment horizontal="center" vertical="center"/>
      <protection hidden="1"/>
    </xf>
    <xf numFmtId="164" fontId="64" fillId="52" borderId="94" xfId="8" applyNumberFormat="1" applyFont="1" applyFill="1" applyBorder="1" applyAlignment="1" applyProtection="1">
      <alignment horizontal="center" vertical="center"/>
      <protection hidden="1"/>
    </xf>
    <xf numFmtId="43" fontId="0" fillId="0" borderId="0" xfId="0" applyNumberFormat="1"/>
    <xf numFmtId="166" fontId="0" fillId="0" borderId="0" xfId="1" applyFont="1"/>
    <xf numFmtId="166" fontId="65" fillId="0" borderId="0" xfId="1" applyFont="1"/>
    <xf numFmtId="174" fontId="34" fillId="6" borderId="29" xfId="6" applyNumberFormat="1" applyFont="1" applyFill="1" applyBorder="1" applyAlignment="1">
      <alignment horizontal="center" vertical="center"/>
    </xf>
    <xf numFmtId="0" fontId="66" fillId="0" borderId="0" xfId="0" applyFont="1"/>
    <xf numFmtId="0" fontId="13" fillId="0" borderId="0" xfId="0" applyFont="1" applyAlignment="1">
      <alignment vertical="center"/>
    </xf>
    <xf numFmtId="0" fontId="19" fillId="0" borderId="0" xfId="0" applyFont="1" applyAlignment="1">
      <alignment vertical="center" wrapText="1"/>
    </xf>
    <xf numFmtId="0" fontId="13" fillId="0" borderId="0" xfId="0" applyFont="1" applyAlignment="1">
      <alignment horizontal="center" vertical="center"/>
    </xf>
    <xf numFmtId="0" fontId="19" fillId="0" borderId="8" xfId="0" applyFont="1" applyBorder="1" applyAlignment="1">
      <alignment vertical="center" wrapText="1"/>
    </xf>
    <xf numFmtId="15" fontId="13" fillId="0" borderId="8" xfId="0" applyNumberFormat="1" applyFont="1" applyBorder="1" applyAlignment="1">
      <alignment horizontal="center" vertical="center"/>
    </xf>
    <xf numFmtId="0" fontId="67" fillId="0" borderId="0" xfId="0" applyFont="1" applyAlignment="1">
      <alignment horizontal="center" vertical="center"/>
    </xf>
    <xf numFmtId="0" fontId="67" fillId="0" borderId="8" xfId="0" applyFont="1" applyBorder="1" applyAlignment="1">
      <alignment vertical="center"/>
    </xf>
    <xf numFmtId="0" fontId="13" fillId="0" borderId="38" xfId="0" applyFont="1" applyBorder="1" applyAlignment="1">
      <alignment vertical="center"/>
    </xf>
    <xf numFmtId="0" fontId="13" fillId="25" borderId="33" xfId="0" applyFont="1" applyFill="1" applyBorder="1" applyAlignment="1">
      <alignment vertical="center"/>
    </xf>
    <xf numFmtId="0" fontId="13" fillId="25" borderId="38" xfId="0" applyFont="1" applyFill="1" applyBorder="1" applyAlignment="1">
      <alignment vertical="center"/>
    </xf>
    <xf numFmtId="0" fontId="13" fillId="25" borderId="59" xfId="0" applyFont="1" applyFill="1" applyBorder="1" applyAlignment="1">
      <alignment vertical="center"/>
    </xf>
    <xf numFmtId="0" fontId="19" fillId="0" borderId="12" xfId="0" applyFont="1" applyBorder="1" applyAlignment="1">
      <alignment vertical="center" wrapText="1"/>
    </xf>
    <xf numFmtId="0" fontId="67" fillId="0" borderId="12" xfId="0" applyFont="1" applyBorder="1" applyAlignment="1">
      <alignment vertical="center"/>
    </xf>
    <xf numFmtId="15" fontId="13" fillId="0" borderId="12" xfId="0" applyNumberFormat="1" applyFont="1" applyBorder="1" applyAlignment="1">
      <alignment horizontal="center" vertical="center"/>
    </xf>
    <xf numFmtId="0" fontId="13" fillId="0" borderId="13" xfId="0" applyFont="1" applyBorder="1" applyAlignment="1">
      <alignment vertical="center"/>
    </xf>
    <xf numFmtId="0" fontId="13" fillId="0" borderId="15" xfId="0" applyFont="1" applyBorder="1" applyAlignment="1">
      <alignment vertical="center"/>
    </xf>
    <xf numFmtId="0" fontId="19" fillId="0" borderId="17" xfId="0" applyFont="1" applyBorder="1" applyAlignment="1">
      <alignment vertical="center" wrapText="1"/>
    </xf>
    <xf numFmtId="0" fontId="67" fillId="0" borderId="17" xfId="0" applyFont="1" applyBorder="1" applyAlignment="1">
      <alignment vertical="center"/>
    </xf>
    <xf numFmtId="15" fontId="13" fillId="0" borderId="17" xfId="0" applyNumberFormat="1" applyFont="1" applyBorder="1" applyAlignment="1">
      <alignment horizontal="center" vertical="center"/>
    </xf>
    <xf numFmtId="0" fontId="13" fillId="0" borderId="18" xfId="0" applyFont="1" applyBorder="1" applyAlignment="1">
      <alignment vertical="center"/>
    </xf>
    <xf numFmtId="0" fontId="19" fillId="0" borderId="38" xfId="0" applyFont="1" applyBorder="1" applyAlignment="1">
      <alignment vertical="center" wrapText="1"/>
    </xf>
    <xf numFmtId="0" fontId="13" fillId="0" borderId="38" xfId="0" applyFont="1" applyBorder="1" applyAlignment="1">
      <alignment horizontal="center" vertical="center"/>
    </xf>
    <xf numFmtId="0" fontId="68" fillId="38" borderId="3" xfId="0" applyFont="1" applyFill="1" applyBorder="1" applyAlignment="1">
      <alignment horizontal="center" vertical="center"/>
    </xf>
    <xf numFmtId="0" fontId="13" fillId="0" borderId="19" xfId="0" applyFont="1" applyBorder="1" applyAlignment="1">
      <alignment vertical="center"/>
    </xf>
    <xf numFmtId="0" fontId="13" fillId="0" borderId="6" xfId="0" applyFont="1" applyBorder="1" applyAlignment="1">
      <alignment vertical="center"/>
    </xf>
    <xf numFmtId="0" fontId="13" fillId="0" borderId="120" xfId="0" applyFont="1" applyBorder="1" applyAlignment="1">
      <alignment vertical="center"/>
    </xf>
    <xf numFmtId="0" fontId="13" fillId="0" borderId="98" xfId="0" applyFont="1" applyBorder="1" applyAlignment="1">
      <alignment vertical="center" wrapText="1"/>
    </xf>
    <xf numFmtId="0" fontId="13" fillId="0" borderId="28" xfId="0" applyFont="1" applyBorder="1" applyAlignment="1">
      <alignment vertical="center" wrapText="1"/>
    </xf>
    <xf numFmtId="0" fontId="13" fillId="0" borderId="28" xfId="0" applyFont="1" applyBorder="1" applyAlignment="1">
      <alignment vertical="center"/>
    </xf>
    <xf numFmtId="0" fontId="13" fillId="0" borderId="136" xfId="0" applyFont="1" applyBorder="1" applyAlignment="1">
      <alignment vertical="center" wrapText="1"/>
    </xf>
    <xf numFmtId="0" fontId="13" fillId="0" borderId="98" xfId="0" applyFont="1" applyBorder="1" applyAlignment="1">
      <alignment vertical="center"/>
    </xf>
    <xf numFmtId="0" fontId="13" fillId="0" borderId="136" xfId="0" applyFont="1" applyBorder="1" applyAlignment="1">
      <alignment vertical="center"/>
    </xf>
    <xf numFmtId="15" fontId="13" fillId="14" borderId="12" xfId="0" applyNumberFormat="1" applyFont="1" applyFill="1" applyBorder="1" applyAlignment="1">
      <alignment horizontal="center" vertical="center"/>
    </xf>
    <xf numFmtId="15" fontId="13" fillId="14" borderId="8" xfId="0" applyNumberFormat="1" applyFont="1" applyFill="1" applyBorder="1" applyAlignment="1">
      <alignment horizontal="center" vertical="center"/>
    </xf>
    <xf numFmtId="15" fontId="13" fillId="14" borderId="17" xfId="0" applyNumberFormat="1" applyFont="1" applyFill="1" applyBorder="1" applyAlignment="1">
      <alignment horizontal="center" vertical="center"/>
    </xf>
    <xf numFmtId="0" fontId="13" fillId="14" borderId="0" xfId="0" applyFont="1" applyFill="1" applyAlignment="1">
      <alignment horizontal="center" vertical="center"/>
    </xf>
    <xf numFmtId="0" fontId="13" fillId="0" borderId="62" xfId="0" applyFont="1" applyBorder="1" applyAlignment="1">
      <alignment vertical="center"/>
    </xf>
    <xf numFmtId="15" fontId="68" fillId="49" borderId="9" xfId="0" applyNumberFormat="1" applyFont="1" applyFill="1" applyBorder="1" applyAlignment="1">
      <alignment horizontal="center" vertical="center"/>
    </xf>
    <xf numFmtId="0" fontId="68" fillId="38" borderId="65" xfId="0" applyFont="1" applyFill="1" applyBorder="1" applyAlignment="1">
      <alignment horizontal="center" vertical="center"/>
    </xf>
    <xf numFmtId="0" fontId="13" fillId="0" borderId="7" xfId="0" applyFont="1" applyBorder="1" applyAlignment="1">
      <alignment vertical="center"/>
    </xf>
    <xf numFmtId="0" fontId="19" fillId="0" borderId="62" xfId="0" applyFont="1" applyBorder="1" applyAlignment="1">
      <alignment vertical="center" wrapText="1"/>
    </xf>
    <xf numFmtId="0" fontId="70" fillId="0" borderId="12" xfId="0" applyFont="1" applyBorder="1" applyAlignment="1">
      <alignment vertical="center" wrapText="1"/>
    </xf>
    <xf numFmtId="15" fontId="13" fillId="0" borderId="13" xfId="0" applyNumberFormat="1" applyFont="1" applyBorder="1" applyAlignment="1">
      <alignment horizontal="center" vertical="center"/>
    </xf>
    <xf numFmtId="15" fontId="13" fillId="0" borderId="15" xfId="0" applyNumberFormat="1" applyFont="1" applyBorder="1" applyAlignment="1">
      <alignment horizontal="center" vertical="center"/>
    </xf>
    <xf numFmtId="15" fontId="13" fillId="0" borderId="15" xfId="0" applyNumberFormat="1" applyFont="1" applyBorder="1" applyAlignment="1">
      <alignment vertical="center"/>
    </xf>
    <xf numFmtId="15" fontId="13" fillId="0" borderId="18" xfId="0" applyNumberFormat="1" applyFont="1" applyBorder="1" applyAlignment="1">
      <alignment vertical="center"/>
    </xf>
    <xf numFmtId="15" fontId="13" fillId="0" borderId="13" xfId="0" applyNumberFormat="1" applyFont="1" applyBorder="1" applyAlignment="1">
      <alignment vertical="center"/>
    </xf>
    <xf numFmtId="0" fontId="16" fillId="2" borderId="17" xfId="0" applyFont="1" applyFill="1" applyBorder="1" applyAlignment="1">
      <alignment horizontal="center" vertical="center" wrapText="1"/>
    </xf>
    <xf numFmtId="0" fontId="0" fillId="0" borderId="0" xfId="0" applyBorder="1"/>
    <xf numFmtId="0" fontId="19" fillId="13" borderId="16" xfId="0" applyFont="1" applyFill="1" applyBorder="1" applyAlignment="1">
      <alignment horizontal="left" vertical="center" wrapText="1"/>
    </xf>
    <xf numFmtId="0" fontId="19" fillId="13" borderId="18" xfId="0" applyFont="1" applyFill="1" applyBorder="1" applyAlignment="1">
      <alignment horizontal="left" vertical="center" wrapText="1"/>
    </xf>
    <xf numFmtId="0" fontId="70" fillId="0" borderId="8" xfId="0" applyFont="1" applyBorder="1" applyAlignment="1">
      <alignment vertical="center" wrapText="1"/>
    </xf>
    <xf numFmtId="0" fontId="68" fillId="38" borderId="65" xfId="0" applyFont="1" applyFill="1" applyBorder="1" applyAlignment="1">
      <alignment horizontal="center" vertical="center" wrapText="1"/>
    </xf>
    <xf numFmtId="0" fontId="70" fillId="0" borderId="17" xfId="0" applyFont="1" applyBorder="1" applyAlignment="1">
      <alignment vertical="center" wrapText="1"/>
    </xf>
    <xf numFmtId="0" fontId="70" fillId="0" borderId="0" xfId="0" applyFont="1" applyAlignment="1">
      <alignment vertical="center" wrapText="1"/>
    </xf>
    <xf numFmtId="0" fontId="70" fillId="0" borderId="38" xfId="0" applyFont="1" applyBorder="1" applyAlignment="1">
      <alignment vertical="center" wrapText="1"/>
    </xf>
    <xf numFmtId="0" fontId="13" fillId="0" borderId="0" xfId="0" applyFont="1" applyAlignment="1">
      <alignment vertical="center" wrapText="1"/>
    </xf>
    <xf numFmtId="0" fontId="0" fillId="0" borderId="0" xfId="0"/>
    <xf numFmtId="166" fontId="5" fillId="0" borderId="0" xfId="1" applyFont="1"/>
    <xf numFmtId="43" fontId="5" fillId="0" borderId="0" xfId="0" applyNumberFormat="1" applyFont="1"/>
    <xf numFmtId="41" fontId="26" fillId="0" borderId="0" xfId="0" applyNumberFormat="1" applyFont="1" applyBorder="1"/>
    <xf numFmtId="172" fontId="26" fillId="0" borderId="0" xfId="0" applyNumberFormat="1" applyFont="1" applyBorder="1"/>
    <xf numFmtId="178" fontId="19" fillId="30" borderId="8" xfId="1" applyNumberFormat="1" applyFont="1" applyFill="1" applyBorder="1" applyAlignment="1">
      <alignment vertical="center"/>
    </xf>
    <xf numFmtId="0" fontId="4" fillId="0" borderId="1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8" xfId="0" applyFont="1" applyBorder="1" applyAlignment="1">
      <alignment horizontal="center" vertical="center" wrapText="1"/>
    </xf>
    <xf numFmtId="9" fontId="4" fillId="0" borderId="48" xfId="4" applyFont="1" applyFill="1" applyBorder="1" applyAlignment="1">
      <alignment horizontal="center" vertical="center" wrapText="1"/>
    </xf>
    <xf numFmtId="0" fontId="4" fillId="0" borderId="74" xfId="0" applyFont="1" applyBorder="1" applyAlignment="1">
      <alignment horizontal="center" vertical="center" wrapText="1"/>
    </xf>
    <xf numFmtId="0" fontId="5" fillId="0" borderId="82" xfId="0" applyFont="1" applyBorder="1" applyAlignment="1">
      <alignment horizontal="center"/>
    </xf>
    <xf numFmtId="0" fontId="5" fillId="0" borderId="59" xfId="0" applyFont="1" applyBorder="1" applyAlignment="1">
      <alignment horizontal="center" vertical="center"/>
    </xf>
    <xf numFmtId="0" fontId="5" fillId="0" borderId="81" xfId="0" applyFont="1" applyBorder="1"/>
    <xf numFmtId="0" fontId="5" fillId="0" borderId="30" xfId="0" applyFont="1" applyBorder="1"/>
    <xf numFmtId="0" fontId="5" fillId="0" borderId="30" xfId="0" applyFont="1" applyBorder="1" applyAlignment="1">
      <alignment horizontal="center" vertical="center"/>
    </xf>
    <xf numFmtId="9" fontId="4" fillId="0" borderId="30" xfId="4" applyFont="1" applyFill="1" applyBorder="1" applyAlignment="1">
      <alignment horizontal="center" vertical="center"/>
    </xf>
    <xf numFmtId="0" fontId="5" fillId="0" borderId="82" xfId="0" applyFont="1" applyBorder="1" applyAlignment="1">
      <alignment horizontal="center" vertical="center"/>
    </xf>
    <xf numFmtId="0" fontId="6" fillId="0" borderId="35" xfId="0" applyFont="1" applyBorder="1"/>
    <xf numFmtId="0" fontId="5" fillId="0" borderId="73" xfId="0" applyFont="1" applyBorder="1" applyAlignment="1">
      <alignment horizontal="center"/>
    </xf>
    <xf numFmtId="0" fontId="4" fillId="0" borderId="33"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73" xfId="0" applyFont="1" applyBorder="1" applyAlignment="1">
      <alignment horizontal="center"/>
    </xf>
    <xf numFmtId="0" fontId="5" fillId="0" borderId="42" xfId="0" applyFont="1" applyBorder="1" applyAlignment="1">
      <alignment horizontal="center"/>
    </xf>
    <xf numFmtId="168" fontId="5" fillId="0" borderId="38" xfId="0" applyNumberFormat="1" applyFont="1" applyBorder="1" applyProtection="1">
      <protection locked="0"/>
    </xf>
    <xf numFmtId="168" fontId="5" fillId="0" borderId="41" xfId="0" applyNumberFormat="1" applyFont="1" applyBorder="1" applyProtection="1">
      <protection locked="0"/>
    </xf>
    <xf numFmtId="9" fontId="5" fillId="0" borderId="39" xfId="4" applyFont="1" applyBorder="1" applyAlignment="1">
      <alignment horizontal="center"/>
    </xf>
    <xf numFmtId="168" fontId="5" fillId="0" borderId="42" xfId="0" applyNumberFormat="1" applyFont="1" applyBorder="1" applyProtection="1">
      <protection locked="0"/>
    </xf>
    <xf numFmtId="168" fontId="4" fillId="0" borderId="42" xfId="0" applyNumberFormat="1" applyFont="1" applyBorder="1" applyProtection="1">
      <protection locked="0"/>
    </xf>
    <xf numFmtId="168" fontId="5" fillId="33" borderId="38" xfId="0" applyNumberFormat="1" applyFont="1" applyFill="1" applyBorder="1" applyProtection="1">
      <protection locked="0"/>
    </xf>
    <xf numFmtId="168" fontId="5" fillId="33" borderId="41" xfId="0" applyNumberFormat="1" applyFont="1" applyFill="1" applyBorder="1" applyProtection="1">
      <protection locked="0"/>
    </xf>
    <xf numFmtId="168" fontId="5" fillId="33" borderId="39" xfId="0" applyNumberFormat="1" applyFont="1" applyFill="1" applyBorder="1" applyProtection="1">
      <protection locked="0"/>
    </xf>
    <xf numFmtId="168" fontId="5" fillId="33" borderId="42" xfId="0" applyNumberFormat="1" applyFont="1" applyFill="1" applyBorder="1" applyProtection="1">
      <protection locked="0"/>
    </xf>
    <xf numFmtId="0" fontId="5" fillId="0" borderId="34" xfId="0" applyFont="1" applyBorder="1" applyAlignment="1">
      <alignment horizontal="left"/>
    </xf>
    <xf numFmtId="0" fontId="4" fillId="0" borderId="44" xfId="0" applyFont="1" applyBorder="1" applyAlignment="1">
      <alignment horizontal="left" vertical="center" wrapText="1"/>
    </xf>
    <xf numFmtId="0" fontId="5" fillId="0" borderId="75" xfId="0" applyFont="1" applyBorder="1" applyAlignment="1">
      <alignment horizontal="center" vertical="center"/>
    </xf>
    <xf numFmtId="168" fontId="4" fillId="0" borderId="138" xfId="0" applyNumberFormat="1" applyFont="1" applyBorder="1" applyAlignment="1">
      <alignment vertical="center"/>
    </xf>
    <xf numFmtId="168" fontId="4" fillId="0" borderId="47" xfId="0" applyNumberFormat="1" applyFont="1" applyBorder="1" applyAlignment="1">
      <alignment vertical="center"/>
    </xf>
    <xf numFmtId="168" fontId="4" fillId="0" borderId="45" xfId="0" applyNumberFormat="1" applyFont="1" applyBorder="1" applyAlignment="1">
      <alignment vertical="center"/>
    </xf>
    <xf numFmtId="9" fontId="4" fillId="0" borderId="45" xfId="4" applyFont="1" applyBorder="1" applyAlignment="1">
      <alignment horizontal="center" vertical="center"/>
    </xf>
    <xf numFmtId="168" fontId="4" fillId="0" borderId="75" xfId="0" applyNumberFormat="1" applyFont="1" applyBorder="1" applyAlignment="1">
      <alignment vertical="center"/>
    </xf>
    <xf numFmtId="0" fontId="8" fillId="0" borderId="42" xfId="0" applyFont="1" applyBorder="1" applyAlignment="1">
      <alignment horizontal="center"/>
    </xf>
    <xf numFmtId="168" fontId="5" fillId="0" borderId="38" xfId="0" applyNumberFormat="1" applyFont="1" applyBorder="1"/>
    <xf numFmtId="43" fontId="5" fillId="0" borderId="0" xfId="8" applyFont="1"/>
    <xf numFmtId="0" fontId="4" fillId="0" borderId="75" xfId="0" applyFont="1" applyBorder="1" applyAlignment="1">
      <alignment horizontal="center"/>
    </xf>
    <xf numFmtId="168" fontId="4" fillId="0" borderId="138" xfId="0" applyNumberFormat="1" applyFont="1" applyBorder="1"/>
    <xf numFmtId="9" fontId="4" fillId="0" borderId="45" xfId="4" applyFont="1" applyBorder="1" applyAlignment="1">
      <alignment horizontal="center"/>
    </xf>
    <xf numFmtId="168" fontId="4" fillId="0" borderId="38" xfId="0" applyNumberFormat="1" applyFont="1" applyBorder="1"/>
    <xf numFmtId="0" fontId="5" fillId="0" borderId="42" xfId="0" applyFont="1" applyBorder="1" applyAlignment="1">
      <alignment horizontal="center" vertical="center"/>
    </xf>
    <xf numFmtId="168" fontId="5" fillId="33" borderId="38" xfId="0" applyNumberFormat="1" applyFont="1" applyFill="1" applyBorder="1" applyAlignment="1" applyProtection="1">
      <alignment vertical="center"/>
      <protection locked="0"/>
    </xf>
    <xf numFmtId="168" fontId="5" fillId="33" borderId="41" xfId="0" applyNumberFormat="1" applyFont="1" applyFill="1" applyBorder="1" applyAlignment="1" applyProtection="1">
      <alignment vertical="center"/>
      <protection locked="0"/>
    </xf>
    <xf numFmtId="168" fontId="5" fillId="33" borderId="39" xfId="0" applyNumberFormat="1" applyFont="1" applyFill="1" applyBorder="1" applyAlignment="1" applyProtection="1">
      <alignment vertical="center"/>
      <protection locked="0"/>
    </xf>
    <xf numFmtId="168" fontId="5" fillId="0" borderId="39" xfId="0" applyNumberFormat="1" applyFont="1" applyBorder="1" applyAlignment="1">
      <alignment vertical="center"/>
    </xf>
    <xf numFmtId="168" fontId="4" fillId="0" borderId="39" xfId="0" applyNumberFormat="1" applyFont="1" applyBorder="1" applyAlignment="1">
      <alignment vertical="center"/>
    </xf>
    <xf numFmtId="168" fontId="5" fillId="33" borderId="42" xfId="0" applyNumberFormat="1" applyFont="1" applyFill="1" applyBorder="1" applyAlignment="1" applyProtection="1">
      <alignment vertical="center"/>
      <protection locked="0"/>
    </xf>
    <xf numFmtId="168" fontId="5" fillId="33" borderId="139" xfId="0" applyNumberFormat="1" applyFont="1" applyFill="1" applyBorder="1" applyProtection="1">
      <protection locked="0"/>
    </xf>
    <xf numFmtId="168" fontId="5" fillId="33" borderId="77" xfId="0" applyNumberFormat="1" applyFont="1" applyFill="1" applyBorder="1" applyProtection="1">
      <protection locked="0"/>
    </xf>
    <xf numFmtId="168" fontId="5" fillId="33" borderId="78" xfId="0" applyNumberFormat="1" applyFont="1" applyFill="1" applyBorder="1" applyProtection="1">
      <protection locked="0"/>
    </xf>
    <xf numFmtId="168" fontId="5" fillId="33" borderId="80" xfId="0" applyNumberFormat="1" applyFont="1" applyFill="1" applyBorder="1" applyProtection="1">
      <protection locked="0"/>
    </xf>
    <xf numFmtId="0" fontId="4" fillId="0" borderId="34" xfId="0" applyFont="1" applyBorder="1" applyAlignment="1">
      <alignment vertical="top" wrapText="1"/>
    </xf>
    <xf numFmtId="0" fontId="5" fillId="0" borderId="42" xfId="0" applyFont="1" applyBorder="1" applyAlignment="1">
      <alignment horizontal="center" vertical="top"/>
    </xf>
    <xf numFmtId="168" fontId="4" fillId="0" borderId="38" xfId="0" applyNumberFormat="1" applyFont="1" applyBorder="1" applyAlignment="1">
      <alignment vertical="top"/>
    </xf>
    <xf numFmtId="168" fontId="4" fillId="0" borderId="41" xfId="0" applyNumberFormat="1" applyFont="1" applyBorder="1" applyAlignment="1">
      <alignment vertical="top"/>
    </xf>
    <xf numFmtId="168" fontId="4" fillId="0" borderId="39" xfId="0" applyNumberFormat="1" applyFont="1" applyBorder="1" applyAlignment="1">
      <alignment vertical="top"/>
    </xf>
    <xf numFmtId="168" fontId="4" fillId="53" borderId="39" xfId="0" applyNumberFormat="1" applyFont="1" applyFill="1" applyBorder="1" applyAlignment="1">
      <alignment vertical="top"/>
    </xf>
    <xf numFmtId="168" fontId="4" fillId="0" borderId="42" xfId="0" applyNumberFormat="1" applyFont="1" applyBorder="1" applyAlignment="1">
      <alignment vertical="top"/>
    </xf>
    <xf numFmtId="168" fontId="4" fillId="53" borderId="39" xfId="0" applyNumberFormat="1" applyFont="1" applyFill="1" applyBorder="1"/>
    <xf numFmtId="168" fontId="5" fillId="53" borderId="39" xfId="0" applyNumberFormat="1" applyFont="1" applyFill="1" applyBorder="1"/>
    <xf numFmtId="0" fontId="4" fillId="0" borderId="34" xfId="0" applyFont="1" applyBorder="1" applyAlignment="1">
      <alignment wrapText="1"/>
    </xf>
    <xf numFmtId="168" fontId="4" fillId="0" borderId="74" xfId="0" applyNumberFormat="1" applyFont="1" applyBorder="1" applyAlignment="1">
      <alignment vertical="top"/>
    </xf>
    <xf numFmtId="168" fontId="4" fillId="0" borderId="140" xfId="0" applyNumberFormat="1" applyFont="1" applyBorder="1" applyAlignment="1">
      <alignment vertical="top"/>
    </xf>
    <xf numFmtId="168" fontId="4" fillId="0" borderId="48" xfId="0" applyNumberFormat="1" applyFont="1" applyBorder="1" applyAlignment="1">
      <alignment vertical="top"/>
    </xf>
    <xf numFmtId="0" fontId="5" fillId="0" borderId="76" xfId="0" applyFont="1" applyBorder="1" applyAlignment="1">
      <alignment horizontal="left" wrapText="1" indent="1"/>
    </xf>
    <xf numFmtId="0" fontId="5" fillId="0" borderId="80" xfId="0" applyFont="1" applyBorder="1" applyAlignment="1">
      <alignment horizontal="center"/>
    </xf>
    <xf numFmtId="168" fontId="5" fillId="53" borderId="78" xfId="0" applyNumberFormat="1" applyFont="1" applyFill="1" applyBorder="1"/>
    <xf numFmtId="0" fontId="4" fillId="0" borderId="29" xfId="0" applyFont="1" applyBorder="1"/>
    <xf numFmtId="168" fontId="4" fillId="0" borderId="59" xfId="0" applyNumberFormat="1" applyFont="1" applyBorder="1"/>
    <xf numFmtId="168" fontId="4" fillId="53" borderId="30" xfId="0" applyNumberFormat="1" applyFont="1" applyFill="1" applyBorder="1"/>
    <xf numFmtId="0" fontId="71" fillId="0" borderId="0" xfId="0" applyFont="1" applyAlignment="1">
      <alignment horizontal="left"/>
    </xf>
    <xf numFmtId="0" fontId="5" fillId="0" borderId="0" xfId="0" applyFont="1" applyAlignment="1">
      <alignment horizontal="left"/>
    </xf>
    <xf numFmtId="0" fontId="71" fillId="0" borderId="34" xfId="0" applyFont="1" applyBorder="1" applyAlignment="1">
      <alignment horizontal="left"/>
    </xf>
    <xf numFmtId="169" fontId="71" fillId="0" borderId="0" xfId="8" applyNumberFormat="1" applyFont="1" applyBorder="1" applyAlignment="1">
      <alignment horizontal="right"/>
    </xf>
    <xf numFmtId="0" fontId="71" fillId="0" borderId="0" xfId="3" applyFont="1" applyAlignment="1">
      <alignment horizontal="left"/>
    </xf>
    <xf numFmtId="169" fontId="5" fillId="0" borderId="0" xfId="8" applyNumberFormat="1" applyFont="1"/>
    <xf numFmtId="0" fontId="33" fillId="8" borderId="7" xfId="0" applyFont="1" applyFill="1" applyBorder="1" applyAlignment="1">
      <alignment horizontal="center" vertical="top"/>
    </xf>
    <xf numFmtId="0" fontId="33" fillId="8" borderId="62" xfId="0" applyFont="1" applyFill="1" applyBorder="1" applyAlignment="1">
      <alignment horizontal="center" vertical="top"/>
    </xf>
    <xf numFmtId="0" fontId="16" fillId="2" borderId="1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8" borderId="87" xfId="0" applyFont="1" applyFill="1" applyBorder="1" applyAlignment="1">
      <alignment horizontal="center" vertical="center" wrapText="1"/>
    </xf>
    <xf numFmtId="0" fontId="16" fillId="8" borderId="91" xfId="0" applyFont="1" applyFill="1" applyBorder="1" applyAlignment="1">
      <alignment horizontal="center" vertical="center" wrapText="1"/>
    </xf>
    <xf numFmtId="0" fontId="16" fillId="0" borderId="88"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35" xfId="0" applyFont="1" applyBorder="1" applyAlignment="1">
      <alignment horizontal="center" vertical="center" wrapText="1"/>
    </xf>
    <xf numFmtId="0" fontId="17" fillId="9" borderId="11"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17" xfId="0" applyFont="1" applyFill="1" applyBorder="1" applyAlignment="1">
      <alignment horizontal="center" vertical="center" wrapText="1"/>
    </xf>
    <xf numFmtId="9" fontId="18" fillId="9" borderId="12" xfId="0" applyNumberFormat="1" applyFont="1" applyFill="1" applyBorder="1" applyAlignment="1">
      <alignment horizontal="left" vertical="center" wrapText="1"/>
    </xf>
    <xf numFmtId="9" fontId="18" fillId="9" borderId="8" xfId="0" applyNumberFormat="1" applyFont="1" applyFill="1" applyBorder="1" applyAlignment="1">
      <alignment horizontal="left" vertical="center" wrapText="1"/>
    </xf>
    <xf numFmtId="9" fontId="18" fillId="9" borderId="17" xfId="0" applyNumberFormat="1" applyFont="1" applyFill="1" applyBorder="1" applyAlignment="1">
      <alignment horizontal="left" vertical="center" wrapText="1"/>
    </xf>
    <xf numFmtId="9" fontId="18" fillId="9" borderId="12" xfId="0" applyNumberFormat="1" applyFont="1" applyFill="1" applyBorder="1" applyAlignment="1">
      <alignment horizontal="center" vertical="center" wrapText="1"/>
    </xf>
    <xf numFmtId="9" fontId="18" fillId="9" borderId="8" xfId="0" applyNumberFormat="1" applyFont="1" applyFill="1" applyBorder="1" applyAlignment="1">
      <alignment horizontal="center" vertical="center" wrapText="1"/>
    </xf>
    <xf numFmtId="9" fontId="18" fillId="9" borderId="17" xfId="0" applyNumberFormat="1"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4" fillId="8" borderId="19"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4" fillId="0" borderId="122" xfId="0" applyFont="1" applyBorder="1" applyAlignment="1">
      <alignment horizontal="center" vertical="center" wrapText="1"/>
    </xf>
    <xf numFmtId="0" fontId="34" fillId="0" borderId="134" xfId="0" applyFont="1" applyBorder="1" applyAlignment="1">
      <alignment horizontal="center" vertical="center" wrapText="1"/>
    </xf>
    <xf numFmtId="0" fontId="17" fillId="11" borderId="11" xfId="0" applyFont="1" applyFill="1" applyBorder="1" applyAlignment="1">
      <alignment horizontal="center" vertical="center" wrapText="1"/>
    </xf>
    <xf numFmtId="0" fontId="17" fillId="11" borderId="14"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18" fillId="11" borderId="12" xfId="0" applyFont="1" applyFill="1" applyBorder="1" applyAlignment="1">
      <alignment horizontal="left" vertical="center" wrapText="1"/>
    </xf>
    <xf numFmtId="0" fontId="18" fillId="11" borderId="8" xfId="0" applyFont="1" applyFill="1" applyBorder="1" applyAlignment="1">
      <alignment horizontal="left" vertical="center" wrapText="1"/>
    </xf>
    <xf numFmtId="0" fontId="18" fillId="11" borderId="17" xfId="0" applyFont="1" applyFill="1" applyBorder="1" applyAlignment="1">
      <alignment horizontal="left" vertical="center" wrapText="1"/>
    </xf>
    <xf numFmtId="9" fontId="18" fillId="11" borderId="12" xfId="0" applyNumberFormat="1" applyFont="1" applyFill="1" applyBorder="1" applyAlignment="1">
      <alignment horizontal="center" vertical="center" wrapText="1"/>
    </xf>
    <xf numFmtId="9" fontId="18" fillId="11" borderId="8" xfId="0" applyNumberFormat="1" applyFont="1" applyFill="1" applyBorder="1" applyAlignment="1">
      <alignment horizontal="center" vertical="center" wrapText="1"/>
    </xf>
    <xf numFmtId="9" fontId="18" fillId="11" borderId="17"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7" fillId="12" borderId="14" xfId="0" applyFont="1" applyFill="1" applyBorder="1" applyAlignment="1">
      <alignment horizontal="center" vertical="center" wrapText="1"/>
    </xf>
    <xf numFmtId="0" fontId="17" fillId="12" borderId="95" xfId="0" applyFont="1" applyFill="1" applyBorder="1" applyAlignment="1">
      <alignment horizontal="center" vertical="center" wrapText="1"/>
    </xf>
    <xf numFmtId="0" fontId="16" fillId="0" borderId="122" xfId="0" applyFont="1" applyBorder="1" applyAlignment="1">
      <alignment horizontal="center" vertical="center" wrapText="1"/>
    </xf>
    <xf numFmtId="0" fontId="16" fillId="0" borderId="134" xfId="0" applyFont="1" applyBorder="1" applyAlignment="1">
      <alignment horizontal="center" vertical="center" wrapText="1"/>
    </xf>
    <xf numFmtId="0" fontId="36" fillId="29" borderId="87" xfId="0" applyFont="1" applyFill="1" applyBorder="1" applyAlignment="1">
      <alignment horizontal="center" vertical="center" textRotation="90"/>
    </xf>
    <xf numFmtId="0" fontId="36" fillId="29" borderId="91" xfId="0" applyFont="1" applyFill="1" applyBorder="1" applyAlignment="1">
      <alignment horizontal="center" vertical="center" textRotation="90"/>
    </xf>
    <xf numFmtId="0" fontId="36" fillId="29" borderId="97" xfId="0" applyFont="1" applyFill="1" applyBorder="1" applyAlignment="1">
      <alignment horizontal="center" vertical="center" textRotation="90"/>
    </xf>
    <xf numFmtId="0" fontId="13" fillId="6" borderId="34" xfId="0" applyFont="1" applyFill="1" applyBorder="1" applyAlignment="1">
      <alignment horizontal="left" vertical="center" wrapText="1"/>
    </xf>
    <xf numFmtId="0" fontId="13" fillId="6" borderId="37" xfId="0" applyFont="1" applyFill="1" applyBorder="1" applyAlignment="1">
      <alignment horizontal="left" vertical="center" wrapText="1"/>
    </xf>
    <xf numFmtId="9" fontId="34" fillId="0" borderId="33" xfId="4" applyFont="1" applyBorder="1" applyAlignment="1">
      <alignment horizontal="center" vertical="center"/>
    </xf>
    <xf numFmtId="9" fontId="34" fillId="0" borderId="59" xfId="4" applyFont="1" applyBorder="1" applyAlignment="1">
      <alignment horizontal="center" vertical="center"/>
    </xf>
    <xf numFmtId="0" fontId="39" fillId="25" borderId="92" xfId="0" applyFont="1" applyFill="1" applyBorder="1" applyAlignment="1">
      <alignment horizontal="center"/>
    </xf>
    <xf numFmtId="0" fontId="39" fillId="25" borderId="28" xfId="0" applyFont="1" applyFill="1" applyBorder="1" applyAlignment="1">
      <alignment horizontal="center"/>
    </xf>
    <xf numFmtId="0" fontId="13" fillId="22" borderId="35" xfId="0" applyFont="1" applyFill="1" applyBorder="1" applyAlignment="1">
      <alignment horizontal="left" vertical="center" wrapText="1"/>
    </xf>
    <xf numFmtId="0" fontId="13" fillId="22" borderId="32" xfId="0" applyFont="1" applyFill="1" applyBorder="1" applyAlignment="1">
      <alignment horizontal="left" vertical="center" wrapText="1"/>
    </xf>
    <xf numFmtId="0" fontId="13" fillId="22" borderId="34" xfId="0" applyFont="1" applyFill="1" applyBorder="1" applyAlignment="1">
      <alignment horizontal="left" vertical="center" wrapText="1"/>
    </xf>
    <xf numFmtId="0" fontId="13" fillId="22" borderId="37" xfId="0" applyFont="1" applyFill="1" applyBorder="1" applyAlignment="1">
      <alignment horizontal="left" vertical="center" wrapText="1"/>
    </xf>
    <xf numFmtId="174" fontId="34" fillId="0" borderId="33" xfId="4" applyNumberFormat="1" applyFont="1" applyBorder="1" applyAlignment="1">
      <alignment horizontal="center" vertical="center"/>
    </xf>
    <xf numFmtId="174" fontId="34" fillId="0" borderId="59" xfId="4" applyNumberFormat="1" applyFont="1" applyBorder="1" applyAlignment="1">
      <alignment horizontal="center" vertical="center"/>
    </xf>
    <xf numFmtId="0" fontId="13" fillId="24" borderId="34" xfId="0" applyFont="1" applyFill="1" applyBorder="1" applyAlignment="1">
      <alignment horizontal="left" vertical="center" wrapText="1"/>
    </xf>
    <xf numFmtId="0" fontId="13" fillId="24" borderId="37" xfId="0" applyFont="1" applyFill="1" applyBorder="1" applyAlignment="1">
      <alignment horizontal="left" vertical="center" wrapText="1"/>
    </xf>
    <xf numFmtId="0" fontId="13" fillId="35" borderId="34" xfId="0" applyFont="1" applyFill="1" applyBorder="1" applyAlignment="1">
      <alignment horizontal="left" vertical="center" wrapText="1"/>
    </xf>
    <xf numFmtId="0" fontId="13" fillId="35" borderId="37" xfId="0" applyFont="1" applyFill="1" applyBorder="1" applyAlignment="1">
      <alignment horizontal="left" vertical="center" wrapText="1"/>
    </xf>
    <xf numFmtId="0" fontId="13" fillId="37" borderId="34" xfId="0" applyFont="1" applyFill="1" applyBorder="1" applyAlignment="1">
      <alignment horizontal="left" vertical="center" wrapText="1"/>
    </xf>
    <xf numFmtId="0" fontId="13" fillId="37" borderId="37" xfId="0" applyFont="1" applyFill="1" applyBorder="1" applyAlignment="1">
      <alignment horizontal="left" vertical="center" wrapText="1"/>
    </xf>
    <xf numFmtId="0" fontId="13" fillId="25" borderId="34" xfId="0" applyFont="1" applyFill="1" applyBorder="1" applyAlignment="1">
      <alignment horizontal="left" vertical="center" wrapText="1"/>
    </xf>
    <xf numFmtId="0" fontId="13" fillId="25" borderId="37" xfId="0" applyFont="1" applyFill="1" applyBorder="1" applyAlignment="1">
      <alignment horizontal="left" vertical="center" wrapText="1"/>
    </xf>
    <xf numFmtId="0" fontId="13" fillId="25" borderId="29" xfId="0" applyFont="1" applyFill="1" applyBorder="1" applyAlignment="1">
      <alignment horizontal="left" vertical="center" wrapText="1"/>
    </xf>
    <xf numFmtId="0" fontId="13" fillId="25" borderId="31" xfId="0" applyFont="1" applyFill="1" applyBorder="1" applyAlignment="1">
      <alignment horizontal="left" vertical="center" wrapText="1"/>
    </xf>
    <xf numFmtId="9" fontId="34" fillId="0" borderId="33" xfId="0" applyNumberFormat="1" applyFont="1" applyBorder="1" applyAlignment="1">
      <alignment horizontal="center" vertical="center"/>
    </xf>
    <xf numFmtId="0" fontId="34" fillId="0" borderId="59" xfId="0" applyFont="1" applyBorder="1" applyAlignment="1">
      <alignment horizontal="center" vertical="center"/>
    </xf>
    <xf numFmtId="0" fontId="69" fillId="0" borderId="62" xfId="0" applyFont="1" applyBorder="1" applyAlignment="1">
      <alignment horizontal="center" vertical="center"/>
    </xf>
    <xf numFmtId="0" fontId="69" fillId="0" borderId="3" xfId="0" applyFont="1" applyBorder="1" applyAlignment="1">
      <alignment horizontal="center" vertical="center"/>
    </xf>
    <xf numFmtId="0" fontId="67" fillId="8" borderId="1" xfId="0" applyFont="1" applyFill="1" applyBorder="1" applyAlignment="1">
      <alignment horizontal="center" vertical="center" textRotation="90"/>
    </xf>
    <xf numFmtId="0" fontId="67" fillId="8" borderId="5" xfId="0" applyFont="1" applyFill="1" applyBorder="1" applyAlignment="1">
      <alignment horizontal="center" vertical="center" textRotation="90"/>
    </xf>
    <xf numFmtId="0" fontId="67" fillId="25" borderId="69" xfId="0" applyFont="1" applyFill="1" applyBorder="1" applyAlignment="1">
      <alignment horizontal="center" vertical="center" textRotation="90"/>
    </xf>
    <xf numFmtId="0" fontId="67" fillId="25" borderId="70" xfId="0" applyFont="1" applyFill="1" applyBorder="1" applyAlignment="1">
      <alignment horizontal="center" vertical="center" textRotation="90"/>
    </xf>
    <xf numFmtId="0" fontId="67" fillId="25" borderId="71" xfId="0" applyFont="1" applyFill="1" applyBorder="1" applyAlignment="1">
      <alignment horizontal="center" vertical="center" textRotation="90"/>
    </xf>
    <xf numFmtId="0" fontId="67" fillId="8" borderId="69" xfId="0" applyFont="1" applyFill="1" applyBorder="1" applyAlignment="1">
      <alignment horizontal="center" vertical="center" textRotation="90"/>
    </xf>
    <xf numFmtId="0" fontId="67" fillId="8" borderId="70" xfId="0" applyFont="1" applyFill="1" applyBorder="1" applyAlignment="1">
      <alignment horizontal="center" vertical="center" textRotation="90"/>
    </xf>
    <xf numFmtId="0" fontId="67" fillId="8" borderId="71" xfId="0" applyFont="1" applyFill="1" applyBorder="1" applyAlignment="1">
      <alignment horizontal="center" vertical="center" textRotation="90"/>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10" fillId="0" borderId="0" xfId="0" applyFont="1" applyAlignment="1">
      <alignment horizontal="left" wrapText="1"/>
    </xf>
    <xf numFmtId="0" fontId="26" fillId="0" borderId="0" xfId="0" applyFont="1" applyAlignment="1">
      <alignment horizontal="center" vertical="top" wrapText="1"/>
    </xf>
    <xf numFmtId="0" fontId="0" fillId="0" borderId="0" xfId="0"/>
    <xf numFmtId="1" fontId="26" fillId="16" borderId="0" xfId="0" applyNumberFormat="1" applyFont="1" applyFill="1" applyAlignment="1">
      <alignment horizontal="center" vertical="top" wrapText="1"/>
    </xf>
    <xf numFmtId="0" fontId="7" fillId="0" borderId="0" xfId="0" applyFont="1"/>
    <xf numFmtId="172" fontId="26" fillId="0" borderId="0" xfId="0" applyNumberFormat="1" applyFont="1" applyAlignment="1">
      <alignment horizontal="center" wrapText="1"/>
    </xf>
    <xf numFmtId="0" fontId="14" fillId="0" borderId="10"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65" xfId="0" applyFont="1" applyBorder="1" applyAlignment="1">
      <alignment horizontal="center" vertical="center"/>
    </xf>
    <xf numFmtId="0" fontId="14" fillId="0" borderId="4" xfId="0" applyFont="1" applyBorder="1" applyAlignment="1">
      <alignment horizontal="center" vertical="center"/>
    </xf>
    <xf numFmtId="0" fontId="22" fillId="0" borderId="0" xfId="0" applyFont="1" applyAlignment="1">
      <alignment horizontal="center"/>
    </xf>
    <xf numFmtId="0" fontId="24" fillId="0" borderId="0" xfId="0" applyFont="1" applyAlignment="1">
      <alignment horizontal="center" shrinkToFit="1"/>
    </xf>
    <xf numFmtId="172" fontId="26" fillId="0" borderId="0" xfId="0" applyNumberFormat="1" applyFont="1" applyAlignment="1">
      <alignment horizontal="center"/>
    </xf>
    <xf numFmtId="0" fontId="37" fillId="4" borderId="7" xfId="0" applyFont="1" applyFill="1" applyBorder="1" applyAlignment="1">
      <alignment horizontal="center" vertical="center" wrapText="1"/>
    </xf>
    <xf numFmtId="0" fontId="37" fillId="4" borderId="6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54" fillId="45" borderId="10" xfId="0" applyFont="1" applyFill="1" applyBorder="1" applyAlignment="1">
      <alignment horizontal="center"/>
    </xf>
    <xf numFmtId="0" fontId="54" fillId="45" borderId="84" xfId="0" applyFont="1" applyFill="1" applyBorder="1" applyAlignment="1">
      <alignment horizontal="center"/>
    </xf>
    <xf numFmtId="0" fontId="54" fillId="45" borderId="85" xfId="0" applyFont="1" applyFill="1" applyBorder="1" applyAlignment="1">
      <alignment horizontal="center"/>
    </xf>
    <xf numFmtId="175" fontId="56" fillId="46" borderId="14" xfId="8" applyNumberFormat="1" applyFont="1" applyFill="1" applyBorder="1" applyAlignment="1">
      <alignment horizontal="left" vertical="center" wrapText="1"/>
    </xf>
    <xf numFmtId="0" fontId="2" fillId="0" borderId="20" xfId="0" applyFont="1" applyBorder="1" applyAlignment="1">
      <alignment horizontal="left"/>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73" xfId="0" applyFont="1" applyBorder="1" applyAlignment="1">
      <alignment horizontal="center" vertical="center"/>
    </xf>
    <xf numFmtId="0" fontId="4" fillId="0" borderId="42" xfId="0" applyFont="1" applyBorder="1" applyAlignment="1">
      <alignment horizontal="center" vertical="center"/>
    </xf>
    <xf numFmtId="0" fontId="44" fillId="40" borderId="7" xfId="0" applyFont="1" applyFill="1" applyBorder="1" applyAlignment="1">
      <alignment horizontal="center" vertical="center"/>
    </xf>
    <xf numFmtId="0" fontId="44" fillId="40" borderId="62" xfId="0" applyFont="1" applyFill="1" applyBorder="1" applyAlignment="1">
      <alignment horizontal="center" vertical="center"/>
    </xf>
    <xf numFmtId="166" fontId="23" fillId="0" borderId="0" xfId="1" applyFont="1" applyBorder="1" applyAlignment="1">
      <alignment horizontal="left" vertical="top" wrapText="1"/>
    </xf>
    <xf numFmtId="166" fontId="23" fillId="0" borderId="6" xfId="1" applyFont="1" applyBorder="1" applyAlignment="1">
      <alignment horizontal="left" vertical="top" wrapText="1"/>
    </xf>
    <xf numFmtId="0" fontId="35" fillId="31" borderId="8" xfId="0" applyFont="1" applyFill="1" applyBorder="1" applyAlignment="1">
      <alignment horizontal="center" vertical="center" wrapText="1"/>
    </xf>
    <xf numFmtId="0" fontId="18" fillId="0" borderId="8" xfId="0" applyFont="1" applyBorder="1" applyAlignment="1" applyProtection="1">
      <alignment vertical="center" wrapText="1"/>
      <protection locked="0"/>
    </xf>
    <xf numFmtId="0" fontId="19" fillId="0" borderId="0" xfId="0" applyFont="1" applyAlignment="1">
      <alignment wrapText="1"/>
    </xf>
  </cellXfs>
  <cellStyles count="9">
    <cellStyle name="Comma" xfId="1" builtinId="3"/>
    <cellStyle name="Comma 2" xfId="8" xr:uid="{17B5BDC1-F05D-412F-BECE-59CCC02DA6FF}"/>
    <cellStyle name="Currency" xfId="2" builtinId="4"/>
    <cellStyle name="Normal" xfId="0" builtinId="0"/>
    <cellStyle name="Normal 14" xfId="5" xr:uid="{0085A12E-8698-4578-93E9-B84C88834723}"/>
    <cellStyle name="Normal 2" xfId="3" xr:uid="{89D4C31E-E864-4944-82E3-10D8D80EDEC7}"/>
    <cellStyle name="Note" xfId="7" builtinId="10"/>
    <cellStyle name="Percent" xfId="4" builtinId="5"/>
    <cellStyle name="Percent 8" xfId="6" xr:uid="{BD1BDFD2-4FC0-4E54-B5AD-5CD0266CFBE6}"/>
  </cellStyles>
  <dxfs count="27">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4" tint="-0.24994659260841701"/>
        </patternFill>
      </fill>
    </dxf>
    <dxf>
      <fill>
        <patternFill>
          <bgColor rgb="FFFF0000"/>
        </patternFill>
      </fill>
    </dxf>
    <dxf>
      <fill>
        <patternFill>
          <bgColor theme="4" tint="-0.24994659260841701"/>
        </patternFill>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ill>
        <gradientFill degree="90">
          <stop position="0">
            <color theme="0"/>
          </stop>
          <stop position="0.5">
            <color theme="4" tint="0.40000610370189521"/>
          </stop>
          <stop position="1">
            <color theme="0"/>
          </stop>
        </gradientFill>
      </fill>
    </dxf>
    <dxf>
      <fill>
        <gradientFill degree="90">
          <stop position="0">
            <color theme="0"/>
          </stop>
          <stop position="0.5">
            <color rgb="FF9AC87A"/>
          </stop>
          <stop position="1">
            <color theme="0"/>
          </stop>
        </gradientFill>
      </fill>
    </dxf>
    <dxf>
      <fill>
        <gradientFill degree="90">
          <stop position="0">
            <color theme="0"/>
          </stop>
          <stop position="0.5">
            <color rgb="FFFF6D6D"/>
          </stop>
          <stop position="1">
            <color theme="0"/>
          </stop>
        </gradientFill>
      </fill>
    </dxf>
    <dxf>
      <fill>
        <gradientFill degree="90">
          <stop position="0">
            <color theme="0"/>
          </stop>
          <stop position="0.5">
            <color theme="4" tint="0.40000610370189521"/>
          </stop>
          <stop position="1">
            <color theme="0"/>
          </stop>
        </gradientFill>
      </fill>
    </dxf>
    <dxf>
      <fill>
        <gradientFill degree="90">
          <stop position="0">
            <color theme="0"/>
          </stop>
          <stop position="0.5">
            <color rgb="FF9AC87A"/>
          </stop>
          <stop position="1">
            <color theme="0"/>
          </stop>
        </gradientFill>
      </fill>
    </dxf>
    <dxf>
      <fill>
        <gradientFill degree="90">
          <stop position="0">
            <color theme="0"/>
          </stop>
          <stop position="0.5">
            <color rgb="FFFF6D6D"/>
          </stop>
          <stop position="1">
            <color theme="0"/>
          </stop>
        </gradientFill>
      </fill>
    </dxf>
    <dxf>
      <fill>
        <gradientFill degree="90">
          <stop position="0">
            <color theme="0"/>
          </stop>
          <stop position="0.5">
            <color theme="4" tint="0.40000610370189521"/>
          </stop>
          <stop position="1">
            <color theme="0"/>
          </stop>
        </gradientFill>
      </fill>
    </dxf>
    <dxf>
      <fill>
        <gradientFill degree="90">
          <stop position="0">
            <color theme="0"/>
          </stop>
          <stop position="0.5">
            <color theme="4" tint="0.40000610370189521"/>
          </stop>
          <stop position="1">
            <color theme="0"/>
          </stop>
        </gradientFill>
      </fill>
    </dxf>
    <dxf>
      <fill>
        <gradientFill degree="90">
          <stop position="0">
            <color theme="0"/>
          </stop>
          <stop position="0.5">
            <color theme="4" tint="0.40000610370189521"/>
          </stop>
          <stop position="1">
            <color theme="0"/>
          </stop>
        </gradientFill>
      </fill>
    </dxf>
    <dxf>
      <fill>
        <gradientFill degree="90">
          <stop position="0">
            <color theme="0"/>
          </stop>
          <stop position="0.5">
            <color rgb="FF9AC87A"/>
          </stop>
          <stop position="1">
            <color theme="0"/>
          </stop>
        </gradientFill>
      </fill>
    </dxf>
    <dxf>
      <fill>
        <gradientFill degree="90">
          <stop position="0">
            <color theme="0"/>
          </stop>
          <stop position="0.5">
            <color rgb="FFFF6D6D"/>
          </stop>
          <stop position="1">
            <color theme="0"/>
          </stop>
        </gradientFill>
      </fill>
    </dxf>
  </dxfs>
  <tableStyles count="0" defaultTableStyle="TableStyleMedium2" defaultPivotStyle="PivotStyleLight16"/>
  <colors>
    <mruColors>
      <color rgb="FF8FFFC2"/>
      <color rgb="FFFFFFCC"/>
      <color rgb="FF8DA9DB"/>
      <color rgb="FF9AC87A"/>
      <color rgb="FFFF6D6D"/>
      <color rgb="FFFF8181"/>
      <color rgb="FFF3E4AB"/>
      <color rgb="FFFF8989"/>
      <color rgb="FFE7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89701941707554E-2"/>
          <c:y val="6.6259602248881236E-2"/>
          <c:w val="0.90082646146609624"/>
          <c:h val="0.77933965810808969"/>
        </c:manualLayout>
      </c:layout>
      <c:barChart>
        <c:barDir val="col"/>
        <c:grouping val="clustered"/>
        <c:varyColors val="0"/>
        <c:ser>
          <c:idx val="0"/>
          <c:order val="0"/>
          <c:tx>
            <c:v>Employee Costs Excl EPWP, FMG &amp; Sec 57</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Nova Cond" panose="020B0506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[8]Summary!$A$53:$A$67</c15:sqref>
                  </c15:fullRef>
                </c:ext>
              </c:extLst>
              <c:f>[8]Summary!$A$53:$A$63</c:f>
              <c:strCache>
                <c:ptCount val="11"/>
                <c:pt idx="0">
                  <c:v>Basic Salary and Wages</c:v>
                </c:pt>
                <c:pt idx="1">
                  <c:v>Bonuses</c:v>
                </c:pt>
                <c:pt idx="2">
                  <c:v>Travel or Motor Vehicle</c:v>
                </c:pt>
                <c:pt idx="3">
                  <c:v>Housing Benefits</c:v>
                </c:pt>
                <c:pt idx="4">
                  <c:v>Acting and Post Related Allowances</c:v>
                </c:pt>
                <c:pt idx="5">
                  <c:v>Shift Additional Remuneration</c:v>
                </c:pt>
                <c:pt idx="6">
                  <c:v>Standby Allowance</c:v>
                </c:pt>
                <c:pt idx="7">
                  <c:v>Cellular and Telephone</c:v>
                </c:pt>
                <c:pt idx="8">
                  <c:v>Pension</c:v>
                </c:pt>
                <c:pt idx="9">
                  <c:v>Medical</c:v>
                </c:pt>
                <c:pt idx="10">
                  <c:v>Group Life Insurance</c:v>
                </c:pt>
              </c:strCache>
            </c:strRef>
          </c:cat>
          <c:val>
            <c:numRef>
              <c:extLst>
                <c:ext xmlns:c15="http://schemas.microsoft.com/office/drawing/2012/chart" uri="{02D57815-91ED-43cb-92C2-25804820EDAC}">
                  <c15:fullRef>
                    <c15:sqref>[8]Summary!$B$53:$B$67</c15:sqref>
                  </c15:fullRef>
                </c:ext>
              </c:extLst>
              <c:f>[8]Summary!$B$53:$B$63</c:f>
              <c:numCache>
                <c:formatCode>General</c:formatCode>
                <c:ptCount val="11"/>
                <c:pt idx="0">
                  <c:v>40910485</c:v>
                </c:pt>
                <c:pt idx="1">
                  <c:v>3376915</c:v>
                </c:pt>
                <c:pt idx="2">
                  <c:v>2165424</c:v>
                </c:pt>
                <c:pt idx="3">
                  <c:v>291969</c:v>
                </c:pt>
                <c:pt idx="4">
                  <c:v>1188754</c:v>
                </c:pt>
                <c:pt idx="5">
                  <c:v>2677968</c:v>
                </c:pt>
                <c:pt idx="6">
                  <c:v>2626815</c:v>
                </c:pt>
                <c:pt idx="7">
                  <c:v>79800</c:v>
                </c:pt>
                <c:pt idx="8">
                  <c:v>6807920</c:v>
                </c:pt>
                <c:pt idx="9">
                  <c:v>2161635</c:v>
                </c:pt>
                <c:pt idx="10">
                  <c:v>36285</c:v>
                </c:pt>
              </c:numCache>
            </c:numRef>
          </c:val>
          <c:extLst>
            <c:ext xmlns:c16="http://schemas.microsoft.com/office/drawing/2014/chart" uri="{C3380CC4-5D6E-409C-BE32-E72D297353CC}">
              <c16:uniqueId val="{00000000-FCE7-4FB5-B7BF-57AE001DB673}"/>
            </c:ext>
          </c:extLst>
        </c:ser>
        <c:dLbls>
          <c:showLegendKey val="0"/>
          <c:showVal val="0"/>
          <c:showCatName val="0"/>
          <c:showSerName val="0"/>
          <c:showPercent val="0"/>
          <c:showBubbleSize val="0"/>
        </c:dLbls>
        <c:gapWidth val="100"/>
        <c:overlap val="-24"/>
        <c:axId val="548261960"/>
        <c:axId val="548262616"/>
      </c:barChart>
      <c:catAx>
        <c:axId val="54826196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Arial Nova Cond" panose="020B0506020202020204" pitchFamily="34" charset="0"/>
                <a:ea typeface="+mn-ea"/>
                <a:cs typeface="+mn-cs"/>
              </a:defRPr>
            </a:pPr>
            <a:endParaRPr lang="en-US"/>
          </a:p>
        </c:txPr>
        <c:crossAx val="548262616"/>
        <c:crosses val="autoZero"/>
        <c:auto val="1"/>
        <c:lblAlgn val="ctr"/>
        <c:lblOffset val="100"/>
        <c:noMultiLvlLbl val="0"/>
      </c:catAx>
      <c:valAx>
        <c:axId val="54826261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lt1">
                    <a:lumMod val="85000"/>
                  </a:schemeClr>
                </a:solidFill>
                <a:latin typeface="Arial Narrow" panose="020B0606020202030204" pitchFamily="34" charset="0"/>
                <a:ea typeface="+mn-ea"/>
                <a:cs typeface="+mn-cs"/>
              </a:defRPr>
            </a:pPr>
            <a:endParaRPr lang="en-US"/>
          </a:p>
        </c:txPr>
        <c:crossAx val="54826196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465669</xdr:colOff>
      <xdr:row>0</xdr:row>
      <xdr:rowOff>110067</xdr:rowOff>
    </xdr:from>
    <xdr:to>
      <xdr:col>2</xdr:col>
      <xdr:colOff>2802859</xdr:colOff>
      <xdr:row>0</xdr:row>
      <xdr:rowOff>933027</xdr:rowOff>
    </xdr:to>
    <xdr:pic>
      <xdr:nvPicPr>
        <xdr:cNvPr id="2" name="Picture 1">
          <a:extLst>
            <a:ext uri="{FF2B5EF4-FFF2-40B4-BE49-F238E27FC236}">
              <a16:creationId xmlns:a16="http://schemas.microsoft.com/office/drawing/2014/main" id="{DE7525FA-3BDF-53C0-6625-9617E5D8D9AE}"/>
            </a:ext>
          </a:extLst>
        </xdr:cNvPr>
        <xdr:cNvPicPr>
          <a:picLocks noChangeAspect="1"/>
        </xdr:cNvPicPr>
      </xdr:nvPicPr>
      <xdr:blipFill>
        <a:blip xmlns:r="http://schemas.openxmlformats.org/officeDocument/2006/relationships" r:embed="rId1"/>
        <a:stretch>
          <a:fillRect/>
        </a:stretch>
      </xdr:blipFill>
      <xdr:spPr>
        <a:xfrm>
          <a:off x="1320802" y="110067"/>
          <a:ext cx="5342857"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51</xdr:row>
      <xdr:rowOff>16934</xdr:rowOff>
    </xdr:from>
    <xdr:to>
      <xdr:col>9</xdr:col>
      <xdr:colOff>143934</xdr:colOff>
      <xdr:row>71</xdr:row>
      <xdr:rowOff>8467</xdr:rowOff>
    </xdr:to>
    <xdr:graphicFrame macro="">
      <xdr:nvGraphicFramePr>
        <xdr:cNvPr id="2" name="Chart 1">
          <a:extLst>
            <a:ext uri="{FF2B5EF4-FFF2-40B4-BE49-F238E27FC236}">
              <a16:creationId xmlns:a16="http://schemas.microsoft.com/office/drawing/2014/main" id="{3A1E0E76-F009-42EF-9C5B-E0ACD551F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19049</xdr:colOff>
      <xdr:row>27</xdr:row>
      <xdr:rowOff>85725</xdr:rowOff>
    </xdr:from>
    <xdr:to>
      <xdr:col>17</xdr:col>
      <xdr:colOff>600074</xdr:colOff>
      <xdr:row>40</xdr:row>
      <xdr:rowOff>56829</xdr:rowOff>
    </xdr:to>
    <xdr:pic>
      <xdr:nvPicPr>
        <xdr:cNvPr id="3" name="Picture 2">
          <a:extLst>
            <a:ext uri="{FF2B5EF4-FFF2-40B4-BE49-F238E27FC236}">
              <a16:creationId xmlns:a16="http://schemas.microsoft.com/office/drawing/2014/main" id="{F47C7127-1396-C4D0-EAE2-D76A157EEADE}"/>
            </a:ext>
          </a:extLst>
        </xdr:cNvPr>
        <xdr:cNvPicPr>
          <a:picLocks noChangeAspect="1"/>
        </xdr:cNvPicPr>
      </xdr:nvPicPr>
      <xdr:blipFill>
        <a:blip xmlns:r="http://schemas.openxmlformats.org/officeDocument/2006/relationships" r:embed="rId2"/>
        <a:stretch>
          <a:fillRect/>
        </a:stretch>
      </xdr:blipFill>
      <xdr:spPr>
        <a:xfrm>
          <a:off x="14868524" y="5391150"/>
          <a:ext cx="7743825" cy="2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sterncape-my.sharepoint.com/Users/Pieter%20Venter/OneDrive%20-%20Municipal%20Finance%20Improvement%20Programme/FRP/Kannaland/Docs/Budgets/WC041%20ScheduleAReports6.4_2021_2020_05_2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sterncape-my.sharepoint.com/Users/benni/AppData/Local/Microsoft/Windows/INetCache/Content.Outlook/3V2KLQDJ/ScheduleAReports6.5_2022_2021_03_25_09_49_37_077_188966594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esterncape-my.sharepoint.com/Users/benni/Desktop/KANNALAND/MFIP%20IIIx%202022-23/13.%20April%202022/MTREF%20Budge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erome/Documents/BTO/Compliance%20Reporting/2024/SECTION%2071/07%20JAN%202024/ScheduleCReports6.7_2023_M07_2024-02-09_091223_87574816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20Sticks\Database%20Draft_Index\1.%20AFS%20&amp;%20Annual%20Audit\1.1%20AFS\AFS%20Excel\WC041_AFS%202021_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esterncape-my.sharepoint.com/Users/benni/Desktop/KANNALAND/MFIP%20IIIx%202022-23/2.%20MAY%202022/24.%20May%202022/Electricity%20other%20service%20charges_FInal.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esterncape-my.sharepoint.com/Users/benni/Desktop/KANNALAND/MFIP%20IIIx%202021-22/8.%20Nov%202021/24%20Nov%202021/Cash%20Flow/Cash%20Flow%202021_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esterncape-my.sharepoint.com/Users/benni/Desktop/202-21%20Budget/Budget_18%20Jun.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 val="Check Sheets"/>
      <sheetName val="Check Links"/>
      <sheetName val="Import Sheet"/>
      <sheetName val="RawData"/>
      <sheetName val="Import Sheet IDP"/>
      <sheetName val="RawData IDP"/>
      <sheetName val="Import Sheet Non-Financial"/>
      <sheetName val="RawData Non-Financial"/>
      <sheetName val="A3A_OWN"/>
      <sheetName val="A5A_OWN"/>
      <sheetName val="SA2_OWN"/>
      <sheetName val="SA26_OWN"/>
      <sheetName val="SA28_OWN"/>
      <sheetName val="Grants"/>
    </sheetNames>
    <sheetDataSet>
      <sheetData sheetId="0"/>
      <sheetData sheetId="1"/>
      <sheetData sheetId="2">
        <row r="3">
          <cell r="B3" t="str">
            <v>2017/18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 val="Check Sheets"/>
      <sheetName val="Check Links"/>
      <sheetName val="Import Sheet"/>
      <sheetName val="RawData"/>
      <sheetName val="Import Sheet IDP"/>
      <sheetName val="RawData IDP"/>
      <sheetName val="Import Sheet Non-Financial"/>
      <sheetName val="RawData Non-Financial"/>
      <sheetName val="A3A_OWN"/>
      <sheetName val="A5A_OWN"/>
      <sheetName val="SA2_OWN"/>
      <sheetName val="SA26_OWN"/>
      <sheetName val="SA28_OWN"/>
      <sheetName val="Grants"/>
    </sheetNames>
    <sheetDataSet>
      <sheetData sheetId="0" refreshError="1"/>
      <sheetData sheetId="1" refreshError="1"/>
      <sheetData sheetId="2" refreshError="1">
        <row r="2">
          <cell r="B2" t="str">
            <v>2019/20</v>
          </cell>
        </row>
        <row r="3">
          <cell r="B3" t="str">
            <v>2018/19</v>
          </cell>
        </row>
        <row r="4">
          <cell r="B4" t="str">
            <v>2017/18</v>
          </cell>
        </row>
        <row r="5">
          <cell r="B5" t="str">
            <v>Current Year 2020/21</v>
          </cell>
        </row>
        <row r="7">
          <cell r="B7" t="str">
            <v>2021/22 Medium Term Revenue &amp; Expenditure Framework</v>
          </cell>
        </row>
        <row r="8">
          <cell r="B8" t="str">
            <v>LTFS</v>
          </cell>
        </row>
        <row r="9">
          <cell r="B9" t="str">
            <v>Audited Outcome</v>
          </cell>
        </row>
        <row r="11">
          <cell r="B11" t="str">
            <v>Pre-audit outcome</v>
          </cell>
        </row>
        <row r="12">
          <cell r="B12" t="str">
            <v>Original Budget</v>
          </cell>
        </row>
        <row r="13">
          <cell r="B13" t="str">
            <v>Adjusted Budget</v>
          </cell>
        </row>
        <row r="14">
          <cell r="B14" t="str">
            <v>Full Year Forecast</v>
          </cell>
        </row>
        <row r="15">
          <cell r="B15" t="str">
            <v>Budget Year 2021/22</v>
          </cell>
        </row>
        <row r="16">
          <cell r="B16" t="str">
            <v>Budget Year +1 2022/23</v>
          </cell>
        </row>
        <row r="17">
          <cell r="B17" t="str">
            <v>Budget Year +2 2023/24</v>
          </cell>
        </row>
        <row r="18">
          <cell r="B18" t="str">
            <v>Forecast 2024/25</v>
          </cell>
        </row>
        <row r="19">
          <cell r="B19" t="str">
            <v>Forecast 2025/26</v>
          </cell>
        </row>
        <row r="20">
          <cell r="B20" t="str">
            <v>Forecast 2026/27</v>
          </cell>
        </row>
        <row r="21">
          <cell r="B21" t="str">
            <v>Forecast 2027/28</v>
          </cell>
        </row>
        <row r="22">
          <cell r="B22" t="str">
            <v>Forecast 2028/29</v>
          </cell>
        </row>
        <row r="23">
          <cell r="B23" t="str">
            <v>Forecast 2029/30</v>
          </cell>
        </row>
        <row r="24">
          <cell r="B24" t="str">
            <v>Forecast 2030/31</v>
          </cell>
        </row>
        <row r="25">
          <cell r="B25" t="str">
            <v>Forecast 2031/32</v>
          </cell>
        </row>
        <row r="26">
          <cell r="B26" t="str">
            <v>Forecast 2032/33</v>
          </cell>
        </row>
        <row r="27">
          <cell r="B27" t="str">
            <v>Forecast 2033/34</v>
          </cell>
        </row>
        <row r="28">
          <cell r="B28" t="str">
            <v>Forecast 2034/35</v>
          </cell>
        </row>
        <row r="29">
          <cell r="B29" t="str">
            <v>Forecast 2035/36</v>
          </cell>
        </row>
        <row r="30">
          <cell r="B30" t="str">
            <v>Description</v>
          </cell>
        </row>
        <row r="33">
          <cell r="B33" t="str">
            <v>Ref</v>
          </cell>
        </row>
        <row r="34">
          <cell r="B34" t="str">
            <v>References</v>
          </cell>
        </row>
        <row r="35">
          <cell r="B35" t="str">
            <v>Surplus/(Deficit) for the year</v>
          </cell>
        </row>
        <row r="93">
          <cell r="B93" t="str">
            <v>Choose name from list</v>
          </cell>
        </row>
        <row r="103">
          <cell r="B103" t="str">
            <v>Table A4 Budgeted Financial Performance (revenue and expenditure)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 val="Check Sheets"/>
      <sheetName val="Check Links"/>
      <sheetName val="Import Sheet"/>
      <sheetName val="RawData"/>
      <sheetName val="Import Sheet IDP"/>
      <sheetName val="RawData IDP"/>
      <sheetName val="Import Sheet Non-Financial"/>
      <sheetName val="RawData Non-Financial"/>
      <sheetName val="A3A_OWN"/>
      <sheetName val="A5A_OWN"/>
      <sheetName val="SA2_OWN"/>
      <sheetName val="SA26_OWN"/>
      <sheetName val="SA28_OWN"/>
      <sheetName val="Grants"/>
    </sheetNames>
    <sheetDataSet>
      <sheetData sheetId="0"/>
      <sheetData sheetId="1"/>
      <sheetData sheetId="2">
        <row r="106">
          <cell r="B106" t="str">
            <v>Table A7 Budgeted Cash Flows</v>
          </cell>
        </row>
        <row r="142">
          <cell r="B142" t="str">
            <v>Supporting Table SA30 Budgeted monthly cash flow</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13e"/>
      <sheetName val="SC71charts"/>
      <sheetName val="Check Sheets"/>
      <sheetName val="Import Sheet"/>
      <sheetName val="RawData"/>
      <sheetName val="Import Sheet Non-Financial"/>
      <sheetName val="RawData Non-Financial"/>
      <sheetName val="C3C_OWN"/>
      <sheetName val="C5C_OWN"/>
      <sheetName val="Grants"/>
    </sheetNames>
    <sheetDataSet>
      <sheetData sheetId="0"/>
      <sheetData sheetId="1">
        <row r="11">
          <cell r="X11" t="str">
            <v>M07 January</v>
          </cell>
        </row>
      </sheetData>
      <sheetData sheetId="2">
        <row r="2">
          <cell r="B2" t="str">
            <v>2022/23</v>
          </cell>
        </row>
        <row r="3">
          <cell r="B3" t="str">
            <v>Budget Year 2023/24</v>
          </cell>
        </row>
        <row r="6">
          <cell r="B6" t="str">
            <v>Audited Outcome</v>
          </cell>
        </row>
        <row r="9">
          <cell r="B9" t="str">
            <v>Original Budget</v>
          </cell>
        </row>
        <row r="10">
          <cell r="B10" t="str">
            <v>Adjusted Budget</v>
          </cell>
        </row>
        <row r="11">
          <cell r="B11" t="str">
            <v>Full Year Forecast</v>
          </cell>
        </row>
        <row r="27">
          <cell r="B27" t="str">
            <v>Description</v>
          </cell>
        </row>
        <row r="30">
          <cell r="B30" t="str">
            <v>Ref</v>
          </cell>
        </row>
        <row r="31">
          <cell r="B31" t="str">
            <v>References</v>
          </cell>
        </row>
        <row r="42">
          <cell r="B42" t="str">
            <v>Monthly Actual</v>
          </cell>
        </row>
        <row r="43">
          <cell r="B43" t="str">
            <v>YearTD Actual</v>
          </cell>
        </row>
        <row r="44">
          <cell r="B44" t="str">
            <v>YearTD Budget</v>
          </cell>
        </row>
        <row r="45">
          <cell r="B45" t="str">
            <v>YTD Variance</v>
          </cell>
        </row>
        <row r="73">
          <cell r="B73" t="str">
            <v>WC041 Kannaland</v>
          </cell>
        </row>
        <row r="80">
          <cell r="B80" t="str">
            <v>Table C4 Monthly Budget Statement - Financial Performance (revenue and expenditure)</v>
          </cell>
        </row>
      </sheetData>
      <sheetData sheetId="3"/>
      <sheetData sheetId="4"/>
      <sheetData sheetId="5"/>
      <sheetData sheetId="6"/>
      <sheetData sheetId="7">
        <row r="50">
          <cell r="C50">
            <v>-34010798.080000013</v>
          </cell>
          <cell r="D50">
            <v>695232</v>
          </cell>
          <cell r="E50">
            <v>695232</v>
          </cell>
          <cell r="F50">
            <v>7823574.6400000025</v>
          </cell>
          <cell r="G50">
            <v>-1705550.6200000048</v>
          </cell>
          <cell r="H50">
            <v>9222627</v>
          </cell>
          <cell r="K50">
            <v>695232</v>
          </cell>
        </row>
      </sheetData>
      <sheetData sheetId="8"/>
      <sheetData sheetId="9">
        <row r="40">
          <cell r="C40">
            <v>-34010798.079999954</v>
          </cell>
          <cell r="D40">
            <v>695232</v>
          </cell>
          <cell r="E40">
            <v>695232</v>
          </cell>
          <cell r="F40">
            <v>7823574.6400000025</v>
          </cell>
          <cell r="G40">
            <v>-1705550.6200000048</v>
          </cell>
          <cell r="H40">
            <v>9222627</v>
          </cell>
          <cell r="K40">
            <v>695232</v>
          </cell>
        </row>
      </sheetData>
      <sheetData sheetId="10"/>
      <sheetData sheetId="11"/>
      <sheetData sheetId="12"/>
      <sheetData sheetId="13"/>
      <sheetData sheetId="14">
        <row r="48">
          <cell r="C48">
            <v>173187891.16999999</v>
          </cell>
          <cell r="D48">
            <v>2867118</v>
          </cell>
          <cell r="E48">
            <v>2867118</v>
          </cell>
          <cell r="F48">
            <v>167821131.37</v>
          </cell>
          <cell r="G48">
            <v>2867118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_Magic"/>
      <sheetName val="Admin_Parameters"/>
      <sheetName val="Admin_Internal Param"/>
      <sheetName val="Admin_AFS Structure"/>
      <sheetName val="Front page"/>
      <sheetName val="Index"/>
      <sheetName val="General info"/>
      <sheetName val="Approve AFS"/>
      <sheetName val="Audit Report"/>
      <sheetName val="Fin Pos"/>
      <sheetName val="Fin Perform"/>
      <sheetName val="Net Assets"/>
      <sheetName val="Admin_CF Workings"/>
      <sheetName val="Cash Flow"/>
      <sheetName val="Cash Flow Workings"/>
      <sheetName val="Budget Statement"/>
      <sheetName val="Accounting Policies"/>
      <sheetName val="Admin_Add Info"/>
      <sheetName val="Note_Assets(a)"/>
      <sheetName val="PPE Reconciliation"/>
      <sheetName val="Note_Assets(b)"/>
      <sheetName val="Heritage Assets"/>
      <sheetName val="Note_Assets(c)"/>
      <sheetName val="Note_Liabilities"/>
      <sheetName val="Note_Net Assets"/>
      <sheetName val="Note_Revenue"/>
      <sheetName val="Note_Expenditure"/>
      <sheetName val="Note_Other(a)"/>
      <sheetName val="Note_Financial Instruments"/>
      <sheetName val="Note_Other(b)"/>
      <sheetName val="APPENDIX A"/>
      <sheetName val="APPENDIX B"/>
      <sheetName val="APPENDIX C"/>
      <sheetName val="APPENDIX D"/>
      <sheetName val="APPENDIX E(1)"/>
      <sheetName val="APPENDIX E(2)"/>
      <sheetName val="APPENDIX E(3)"/>
      <sheetName val="APPENDIX E(4)"/>
      <sheetName val="APPENDIX G"/>
      <sheetName val="APPENDIX E(5)"/>
      <sheetName val="APPENDIX F"/>
      <sheetName val="APPENDIX H"/>
      <sheetName val="Note_Segmental Reporting"/>
    </sheetNames>
    <sheetDataSet>
      <sheetData sheetId="0"/>
      <sheetData sheetId="1">
        <row r="2">
          <cell r="B2" t="str">
            <v>KANNALAND MUNICIPALITY</v>
          </cell>
        </row>
        <row r="6">
          <cell r="C6" t="str">
            <v>30 JUNE 2021</v>
          </cell>
        </row>
        <row r="17">
          <cell r="C17">
            <v>2021</v>
          </cell>
        </row>
        <row r="19">
          <cell r="C19">
            <v>2020</v>
          </cell>
        </row>
        <row r="21">
          <cell r="C21">
            <v>2019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97">
          <cell r="A497" t="str">
            <v>18.</v>
          </cell>
        </row>
        <row r="534">
          <cell r="I534">
            <v>0</v>
          </cell>
        </row>
        <row r="536">
          <cell r="K536">
            <v>0</v>
          </cell>
        </row>
      </sheetData>
      <sheetData sheetId="23"/>
      <sheetData sheetId="24"/>
      <sheetData sheetId="25">
        <row r="7">
          <cell r="A7" t="str">
            <v>23.</v>
          </cell>
        </row>
        <row r="36">
          <cell r="N36">
            <v>16271388.690000001</v>
          </cell>
        </row>
        <row r="95">
          <cell r="A95" t="str">
            <v>24.</v>
          </cell>
        </row>
        <row r="119">
          <cell r="N119">
            <v>7204256.1799999997</v>
          </cell>
        </row>
        <row r="137">
          <cell r="A137" t="str">
            <v>25.</v>
          </cell>
        </row>
        <row r="174">
          <cell r="N174">
            <v>172889.05</v>
          </cell>
        </row>
        <row r="220">
          <cell r="A220" t="str">
            <v>26.</v>
          </cell>
        </row>
        <row r="229">
          <cell r="N229">
            <v>58566457.760000005</v>
          </cell>
        </row>
        <row r="987">
          <cell r="A987" t="str">
            <v>38.</v>
          </cell>
        </row>
        <row r="992">
          <cell r="N992">
            <v>0</v>
          </cell>
        </row>
        <row r="1010">
          <cell r="A1010" t="str">
            <v>27.</v>
          </cell>
        </row>
        <row r="1017">
          <cell r="N1017">
            <v>69666651.530000001</v>
          </cell>
        </row>
        <row r="1046">
          <cell r="A1046" t="str">
            <v>28.</v>
          </cell>
        </row>
        <row r="1097">
          <cell r="N1097">
            <v>381319.58999999997</v>
          </cell>
        </row>
        <row r="1115">
          <cell r="A1115" t="str">
            <v>29.</v>
          </cell>
        </row>
        <row r="1125">
          <cell r="N1125">
            <v>828351.27</v>
          </cell>
        </row>
        <row r="1151">
          <cell r="A1151" t="str">
            <v>30.</v>
          </cell>
        </row>
        <row r="1178">
          <cell r="N1178">
            <v>516496.88</v>
          </cell>
        </row>
        <row r="1199">
          <cell r="A1199" t="str">
            <v>31.</v>
          </cell>
        </row>
        <row r="1205">
          <cell r="N1205">
            <v>32807.440000000002</v>
          </cell>
        </row>
        <row r="1253">
          <cell r="N1253">
            <v>4352638.4600000009</v>
          </cell>
        </row>
        <row r="1292">
          <cell r="A1292" t="str">
            <v>32.</v>
          </cell>
        </row>
        <row r="1314">
          <cell r="N1314">
            <v>240293.68</v>
          </cell>
        </row>
        <row r="1366">
          <cell r="I1366">
            <v>0</v>
          </cell>
          <cell r="K1366">
            <v>0</v>
          </cell>
          <cell r="N1366">
            <v>0</v>
          </cell>
        </row>
      </sheetData>
      <sheetData sheetId="26">
        <row r="7">
          <cell r="A7" t="str">
            <v>33.</v>
          </cell>
        </row>
        <row r="165">
          <cell r="N165">
            <v>55723015.1391</v>
          </cell>
        </row>
        <row r="388">
          <cell r="A388" t="str">
            <v>34.</v>
          </cell>
        </row>
        <row r="419">
          <cell r="N419">
            <v>3105742.41</v>
          </cell>
        </row>
        <row r="515">
          <cell r="A515" t="str">
            <v>35.</v>
          </cell>
        </row>
        <row r="523">
          <cell r="N523">
            <v>11764972.258599998</v>
          </cell>
        </row>
        <row r="565">
          <cell r="A565" t="str">
            <v>36.</v>
          </cell>
        </row>
        <row r="571">
          <cell r="N571">
            <v>10415997.1362</v>
          </cell>
        </row>
        <row r="628">
          <cell r="A628" t="str">
            <v>37.</v>
          </cell>
        </row>
        <row r="651">
          <cell r="N651">
            <v>2839764.2852000003</v>
          </cell>
        </row>
        <row r="693">
          <cell r="A693" t="str">
            <v>38.</v>
          </cell>
        </row>
        <row r="698">
          <cell r="N698">
            <v>34897575.1043</v>
          </cell>
        </row>
        <row r="716">
          <cell r="A716" t="str">
            <v>39.</v>
          </cell>
        </row>
        <row r="722">
          <cell r="N722">
            <v>16692388.650000002</v>
          </cell>
        </row>
        <row r="848">
          <cell r="A848" t="str">
            <v>40.</v>
          </cell>
        </row>
        <row r="859">
          <cell r="N859">
            <v>1360327.8299999998</v>
          </cell>
        </row>
        <row r="893">
          <cell r="A893" t="str">
            <v>41.</v>
          </cell>
        </row>
        <row r="902">
          <cell r="N902">
            <v>405612.21</v>
          </cell>
        </row>
        <row r="952">
          <cell r="A952" t="str">
            <v>42.</v>
          </cell>
        </row>
        <row r="969">
          <cell r="N969">
            <v>558970.30000000005</v>
          </cell>
        </row>
        <row r="1016">
          <cell r="A1016" t="str">
            <v>43.</v>
          </cell>
        </row>
        <row r="1099">
          <cell r="N1099">
            <v>12514777.476499999</v>
          </cell>
        </row>
        <row r="1187">
          <cell r="A1187" t="str">
            <v>44.</v>
          </cell>
        </row>
        <row r="1197">
          <cell r="I1197">
            <v>0</v>
          </cell>
          <cell r="K1197">
            <v>0</v>
          </cell>
          <cell r="N1197">
            <v>0</v>
          </cell>
        </row>
        <row r="1208">
          <cell r="I1208">
            <v>0</v>
          </cell>
          <cell r="K1208">
            <v>0</v>
          </cell>
          <cell r="N1208">
            <v>0</v>
          </cell>
        </row>
        <row r="1244">
          <cell r="A1244" t="str">
            <v>44.</v>
          </cell>
        </row>
        <row r="1256">
          <cell r="I1256">
            <v>0</v>
          </cell>
          <cell r="K1256">
            <v>0</v>
          </cell>
          <cell r="N1256">
            <v>0</v>
          </cell>
        </row>
        <row r="1258">
          <cell r="N1258">
            <v>147677.74</v>
          </cell>
        </row>
      </sheetData>
      <sheetData sheetId="27">
        <row r="7">
          <cell r="A7" t="str">
            <v>59.</v>
          </cell>
        </row>
        <row r="44">
          <cell r="K44">
            <v>0</v>
          </cell>
        </row>
        <row r="75">
          <cell r="K75">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mpairment"/>
      <sheetName val="Sheet2"/>
      <sheetName val="Elec Rev Calc"/>
      <sheetName val="Bulk PurchCalc"/>
      <sheetName val="FBE"/>
      <sheetName val="Tariffs"/>
      <sheetName val="TOU"/>
      <sheetName val="Sundry Tariffs"/>
      <sheetName val="MegaFlex"/>
      <sheetName val="MiniFlex"/>
    </sheetNames>
    <sheetDataSet>
      <sheetData sheetId="0">
        <row r="7">
          <cell r="AA7">
            <v>-1020840</v>
          </cell>
        </row>
        <row r="8">
          <cell r="AA8">
            <v>-5086440</v>
          </cell>
        </row>
        <row r="9">
          <cell r="AA9">
            <v>-7378540</v>
          </cell>
        </row>
        <row r="10">
          <cell r="AA10">
            <v>-2459550</v>
          </cell>
        </row>
        <row r="11">
          <cell r="AA11">
            <v>4006860</v>
          </cell>
        </row>
        <row r="13">
          <cell r="AA13">
            <v>-4006860</v>
          </cell>
        </row>
        <row r="16">
          <cell r="AA16">
            <v>-593170</v>
          </cell>
        </row>
        <row r="19">
          <cell r="AA19">
            <v>-33259180</v>
          </cell>
        </row>
        <row r="20">
          <cell r="AA20">
            <v>-1575000</v>
          </cell>
        </row>
        <row r="22">
          <cell r="AA22">
            <v>-70502830</v>
          </cell>
          <cell r="AB22">
            <v>-75438030</v>
          </cell>
          <cell r="AC22">
            <v>-81473070</v>
          </cell>
        </row>
        <row r="52">
          <cell r="AA52">
            <v>-69427349</v>
          </cell>
          <cell r="AB52">
            <v>-74672120</v>
          </cell>
          <cell r="AC52">
            <v>-80645890</v>
          </cell>
        </row>
      </sheetData>
      <sheetData sheetId="1"/>
      <sheetData sheetId="2">
        <row r="6">
          <cell r="G6">
            <v>-8917850.0499999989</v>
          </cell>
          <cell r="H6">
            <v>-9451180</v>
          </cell>
          <cell r="I6">
            <v>-10016540</v>
          </cell>
        </row>
        <row r="12">
          <cell r="G12">
            <v>-5350270</v>
          </cell>
          <cell r="H12">
            <v>-6425870</v>
          </cell>
          <cell r="I12">
            <v>-7410990</v>
          </cell>
        </row>
        <row r="24">
          <cell r="G24">
            <v>-9218969.9999999981</v>
          </cell>
          <cell r="H24">
            <v>-9772110</v>
          </cell>
          <cell r="I24">
            <v>-10358440</v>
          </cell>
        </row>
        <row r="33">
          <cell r="G33">
            <v>-5715490.4399999995</v>
          </cell>
          <cell r="H33">
            <v>-6643366.4000000004</v>
          </cell>
          <cell r="I33">
            <v>-7668139.0899999999</v>
          </cell>
        </row>
        <row r="43">
          <cell r="G43">
            <v>-21840799.999999996</v>
          </cell>
          <cell r="H43">
            <v>-23151250</v>
          </cell>
          <cell r="I43">
            <v>-24540330</v>
          </cell>
        </row>
        <row r="51">
          <cell r="G51">
            <v>-16370550</v>
          </cell>
          <cell r="H51">
            <v>-18517060</v>
          </cell>
          <cell r="I51">
            <v>-19993390</v>
          </cell>
        </row>
      </sheetData>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2021"/>
      <sheetName val="Sheet2"/>
      <sheetName val="Sheet3"/>
      <sheetName val="DATA"/>
      <sheetName val="Grant Funding"/>
      <sheetName val="Payment Arrangements"/>
      <sheetName val="Traffic"/>
      <sheetName val="3yr History"/>
      <sheetName val="Technical"/>
      <sheetName val="Retension "/>
      <sheetName val="Fleet-Assets"/>
      <sheetName val="Sheet1"/>
      <sheetName val="Comments"/>
      <sheetName val="Revenue"/>
      <sheetName val="Bulk"/>
      <sheetName val="Salaries"/>
      <sheetName val="Assumptions"/>
      <sheetName val="Pre-paid"/>
    </sheetNames>
    <sheetDataSet>
      <sheetData sheetId="0"/>
      <sheetData sheetId="1"/>
      <sheetData sheetId="2"/>
      <sheetData sheetId="3"/>
      <sheetData sheetId="4">
        <row r="34">
          <cell r="D34"/>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amp;M Project Empl."/>
      <sheetName val="ORG PAY"/>
      <sheetName val="Snr &amp; Grants"/>
      <sheetName val="Councillors Rem"/>
      <sheetName val="Leave Calculation"/>
      <sheetName val="Pensioner Error"/>
      <sheetName val="Chart"/>
      <sheetName val="Org Costing"/>
      <sheetName val="R&amp;M Costing"/>
      <sheetName val="Costing Pensioners"/>
      <sheetName val="Payroll Org"/>
      <sheetName val="Sheet1"/>
      <sheetName val="Pay Allocation"/>
      <sheetName val="Details"/>
      <sheetName val="Detail_1"/>
      <sheetName val="Workings"/>
    </sheetNames>
    <sheetDataSet>
      <sheetData sheetId="0">
        <row r="53">
          <cell r="A53" t="str">
            <v>Basic Salary and Wages</v>
          </cell>
          <cell r="B53">
            <v>40910485</v>
          </cell>
        </row>
        <row r="54">
          <cell r="A54" t="str">
            <v>Bonuses</v>
          </cell>
          <cell r="B54">
            <v>3376915</v>
          </cell>
        </row>
        <row r="55">
          <cell r="A55" t="str">
            <v>Travel or Motor Vehicle</v>
          </cell>
          <cell r="B55">
            <v>2165424</v>
          </cell>
        </row>
        <row r="56">
          <cell r="A56" t="str">
            <v>Housing Benefits</v>
          </cell>
          <cell r="B56">
            <v>291969</v>
          </cell>
        </row>
        <row r="57">
          <cell r="A57" t="str">
            <v>Acting and Post Related Allowances</v>
          </cell>
          <cell r="B57">
            <v>1188754</v>
          </cell>
        </row>
        <row r="58">
          <cell r="A58" t="str">
            <v>Shift Additional Remuneration</v>
          </cell>
          <cell r="B58">
            <v>2677968</v>
          </cell>
        </row>
        <row r="59">
          <cell r="A59" t="str">
            <v>Standby Allowance</v>
          </cell>
          <cell r="B59">
            <v>2626815</v>
          </cell>
        </row>
        <row r="60">
          <cell r="A60" t="str">
            <v>Cellular and Telephone</v>
          </cell>
          <cell r="B60">
            <v>79800</v>
          </cell>
        </row>
        <row r="61">
          <cell r="A61" t="str">
            <v>Pension</v>
          </cell>
          <cell r="B61">
            <v>6807920</v>
          </cell>
        </row>
        <row r="62">
          <cell r="A62" t="str">
            <v>Medical</v>
          </cell>
          <cell r="B62">
            <v>2161635</v>
          </cell>
        </row>
        <row r="63">
          <cell r="A63" t="str">
            <v>Group Life Insurance</v>
          </cell>
          <cell r="B63">
            <v>36285</v>
          </cell>
        </row>
        <row r="64">
          <cell r="A64" t="str">
            <v>Unemployment Insurance</v>
          </cell>
          <cell r="B64">
            <v>374813</v>
          </cell>
        </row>
        <row r="65">
          <cell r="A65" t="str">
            <v>Bargaining Council</v>
          </cell>
          <cell r="B65">
            <v>24967.200000000001</v>
          </cell>
        </row>
        <row r="66">
          <cell r="A66" t="str">
            <v>Skills Development Fund Levy</v>
          </cell>
          <cell r="B66">
            <v>618549</v>
          </cell>
        </row>
        <row r="67">
          <cell r="A67" t="str">
            <v>Workmen's Compensation Fund</v>
          </cell>
          <cell r="B67">
            <v>628741.28799999994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Bennie Strydom" id="{040DF857-86CD-4758-BD19-F2A0611B4D07}" userId="Bennie Strydom"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1-11-17T17:14:23.35" personId="{040DF857-86CD-4758-BD19-F2A0611B4D07}" id="{E257E48C-9FBE-42F8-A86D-652446893779}">
    <text>Included under other - Service Charges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6FB43-05F0-4A87-8BAB-AEB2FAD4B1F7}">
  <sheetPr>
    <tabColor rgb="FFFF0000"/>
    <pageSetUpPr fitToPage="1"/>
  </sheetPr>
  <dimension ref="A1:N21"/>
  <sheetViews>
    <sheetView showGridLines="0" topLeftCell="B1" zoomScaleNormal="100" zoomScaleSheetLayoutView="80" workbookViewId="0">
      <selection activeCell="E13" sqref="E13"/>
    </sheetView>
  </sheetViews>
  <sheetFormatPr defaultColWidth="8.88671875" defaultRowHeight="14.4"/>
  <cols>
    <col min="1" max="1" width="20.88671875" style="180" customWidth="1"/>
    <col min="2" max="2" width="15.33203125" style="181" customWidth="1"/>
    <col min="3" max="3" width="19.33203125" customWidth="1"/>
    <col min="4" max="4" width="17.109375" customWidth="1"/>
    <col min="5" max="8" width="19.21875" customWidth="1"/>
    <col min="9" max="10" width="29.6640625" customWidth="1"/>
    <col min="11" max="11" width="28.109375" hidden="1" customWidth="1"/>
    <col min="12" max="12" width="1.33203125" customWidth="1"/>
    <col min="13" max="14" width="29.6640625" customWidth="1"/>
  </cols>
  <sheetData>
    <row r="1" spans="1:14" ht="16.2" thickBot="1">
      <c r="A1" s="992" t="s">
        <v>128</v>
      </c>
      <c r="B1" s="993"/>
      <c r="C1" s="993"/>
      <c r="D1" s="993"/>
      <c r="E1" s="993"/>
      <c r="F1" s="993"/>
      <c r="G1" s="993"/>
      <c r="H1" s="993"/>
      <c r="I1" s="993"/>
      <c r="J1" s="993"/>
      <c r="K1" s="678"/>
      <c r="L1" s="144"/>
      <c r="M1" s="679"/>
      <c r="N1" s="680"/>
    </row>
    <row r="2" spans="1:14">
      <c r="A2" s="994" t="s">
        <v>129</v>
      </c>
      <c r="B2" s="997" t="s">
        <v>130</v>
      </c>
      <c r="C2" s="997" t="s">
        <v>131</v>
      </c>
      <c r="D2" s="997" t="s">
        <v>132</v>
      </c>
      <c r="E2" s="997" t="s">
        <v>133</v>
      </c>
      <c r="F2" s="997"/>
      <c r="G2" s="997" t="s">
        <v>134</v>
      </c>
      <c r="H2" s="997"/>
      <c r="I2" s="997" t="s">
        <v>615</v>
      </c>
      <c r="J2" s="997" t="s">
        <v>616</v>
      </c>
      <c r="K2" s="1000" t="s">
        <v>135</v>
      </c>
      <c r="M2" s="994" t="s">
        <v>617</v>
      </c>
      <c r="N2" s="1000" t="s">
        <v>618</v>
      </c>
    </row>
    <row r="3" spans="1:14">
      <c r="A3" s="995"/>
      <c r="B3" s="998"/>
      <c r="C3" s="998"/>
      <c r="D3" s="998"/>
      <c r="E3" s="998"/>
      <c r="F3" s="998"/>
      <c r="G3" s="998"/>
      <c r="H3" s="998"/>
      <c r="I3" s="998"/>
      <c r="J3" s="998"/>
      <c r="K3" s="1001"/>
      <c r="M3" s="995"/>
      <c r="N3" s="1001"/>
    </row>
    <row r="4" spans="1:14" ht="34.799999999999997" thickBot="1">
      <c r="A4" s="996"/>
      <c r="B4" s="999"/>
      <c r="C4" s="999"/>
      <c r="D4" s="999"/>
      <c r="E4" s="146" t="s">
        <v>613</v>
      </c>
      <c r="F4" s="591" t="s">
        <v>614</v>
      </c>
      <c r="G4" s="146" t="s">
        <v>613</v>
      </c>
      <c r="H4" s="896" t="s">
        <v>614</v>
      </c>
      <c r="I4" s="999"/>
      <c r="J4" s="999"/>
      <c r="K4" s="1002"/>
      <c r="M4" s="996"/>
      <c r="N4" s="1002"/>
    </row>
    <row r="5" spans="1:14" ht="140.4" customHeight="1">
      <c r="A5" s="1003" t="s">
        <v>136</v>
      </c>
      <c r="B5" s="1005" t="s">
        <v>137</v>
      </c>
      <c r="C5" s="1008" t="s">
        <v>138</v>
      </c>
      <c r="D5" s="1011" t="s">
        <v>139</v>
      </c>
      <c r="E5" s="1014" t="s">
        <v>428</v>
      </c>
      <c r="F5" s="1014" t="s">
        <v>627</v>
      </c>
      <c r="G5" s="1017" t="s">
        <v>140</v>
      </c>
      <c r="H5" s="1017" t="s">
        <v>140</v>
      </c>
      <c r="I5" s="147" t="s">
        <v>429</v>
      </c>
      <c r="J5" s="681" t="s">
        <v>430</v>
      </c>
      <c r="K5" s="148" t="s">
        <v>431</v>
      </c>
      <c r="M5" s="682" t="s">
        <v>432</v>
      </c>
      <c r="N5" s="683" t="s">
        <v>433</v>
      </c>
    </row>
    <row r="6" spans="1:14" ht="125.4">
      <c r="A6" s="1004"/>
      <c r="B6" s="1006"/>
      <c r="C6" s="1009"/>
      <c r="D6" s="1012"/>
      <c r="E6" s="1015"/>
      <c r="F6" s="1015"/>
      <c r="G6" s="1018"/>
      <c r="H6" s="1018"/>
      <c r="I6" s="684" t="s">
        <v>619</v>
      </c>
      <c r="J6" s="149" t="s">
        <v>434</v>
      </c>
      <c r="K6" s="150" t="s">
        <v>431</v>
      </c>
      <c r="M6" s="685" t="s">
        <v>435</v>
      </c>
      <c r="N6" s="686" t="s">
        <v>141</v>
      </c>
    </row>
    <row r="7" spans="1:14" ht="80.400000000000006" thickBot="1">
      <c r="A7" s="1004"/>
      <c r="B7" s="1006"/>
      <c r="C7" s="1010"/>
      <c r="D7" s="1013"/>
      <c r="E7" s="1016"/>
      <c r="F7" s="1016"/>
      <c r="G7" s="1019"/>
      <c r="H7" s="1019"/>
      <c r="I7" s="151" t="s">
        <v>620</v>
      </c>
      <c r="J7" s="687" t="s">
        <v>621</v>
      </c>
      <c r="K7" s="152" t="s">
        <v>431</v>
      </c>
      <c r="M7" s="688" t="s">
        <v>436</v>
      </c>
      <c r="N7" s="689" t="s">
        <v>142</v>
      </c>
    </row>
    <row r="8" spans="1:14" ht="68.400000000000006">
      <c r="A8" s="1004"/>
      <c r="B8" s="1006"/>
      <c r="C8" s="1025" t="s">
        <v>143</v>
      </c>
      <c r="D8" s="1028" t="s">
        <v>144</v>
      </c>
      <c r="E8" s="1031" t="s">
        <v>437</v>
      </c>
      <c r="F8" s="1031" t="s">
        <v>626</v>
      </c>
      <c r="G8" s="1034" t="s">
        <v>140</v>
      </c>
      <c r="H8" s="1034" t="s">
        <v>140</v>
      </c>
      <c r="I8" s="592" t="s">
        <v>622</v>
      </c>
      <c r="J8" s="592" t="s">
        <v>438</v>
      </c>
      <c r="K8" s="148" t="s">
        <v>431</v>
      </c>
      <c r="M8" s="690" t="s">
        <v>439</v>
      </c>
      <c r="N8" s="691" t="s">
        <v>440</v>
      </c>
    </row>
    <row r="9" spans="1:14" ht="68.400000000000006">
      <c r="A9" s="1004"/>
      <c r="B9" s="1006"/>
      <c r="C9" s="1026"/>
      <c r="D9" s="1029"/>
      <c r="E9" s="1032"/>
      <c r="F9" s="1032"/>
      <c r="G9" s="1035"/>
      <c r="H9" s="1035"/>
      <c r="I9" s="593" t="s">
        <v>441</v>
      </c>
      <c r="J9" s="593" t="s">
        <v>442</v>
      </c>
      <c r="K9" s="150" t="s">
        <v>431</v>
      </c>
      <c r="M9" s="692" t="s">
        <v>443</v>
      </c>
      <c r="N9" s="693" t="s">
        <v>444</v>
      </c>
    </row>
    <row r="10" spans="1:14" ht="114.6" thickBot="1">
      <c r="A10" s="1004"/>
      <c r="B10" s="1007"/>
      <c r="C10" s="1027"/>
      <c r="D10" s="1030"/>
      <c r="E10" s="1033"/>
      <c r="F10" s="1033"/>
      <c r="G10" s="1036"/>
      <c r="H10" s="1036"/>
      <c r="I10" s="694" t="s">
        <v>445</v>
      </c>
      <c r="J10" s="694" t="s">
        <v>446</v>
      </c>
      <c r="K10" s="152" t="s">
        <v>431</v>
      </c>
      <c r="M10" s="695" t="s">
        <v>447</v>
      </c>
      <c r="N10" s="696" t="s">
        <v>447</v>
      </c>
    </row>
    <row r="11" spans="1:14" ht="125.4">
      <c r="A11" s="1037" t="s">
        <v>145</v>
      </c>
      <c r="B11" s="1040" t="s">
        <v>1</v>
      </c>
      <c r="C11" s="697" t="s">
        <v>146</v>
      </c>
      <c r="D11" s="698" t="s">
        <v>147</v>
      </c>
      <c r="E11" s="699" t="s">
        <v>448</v>
      </c>
      <c r="F11" s="699" t="s">
        <v>623</v>
      </c>
      <c r="G11" s="700" t="s">
        <v>140</v>
      </c>
      <c r="H11" s="700" t="s">
        <v>140</v>
      </c>
      <c r="I11" s="699" t="s">
        <v>148</v>
      </c>
      <c r="J11" s="699" t="s">
        <v>449</v>
      </c>
      <c r="K11" s="701" t="s">
        <v>431</v>
      </c>
      <c r="L11" s="144"/>
      <c r="M11" s="702" t="s">
        <v>450</v>
      </c>
      <c r="N11" s="703" t="s">
        <v>450</v>
      </c>
    </row>
    <row r="12" spans="1:14" ht="79.8">
      <c r="A12" s="1038"/>
      <c r="B12" s="1041"/>
      <c r="C12" s="1043" t="s">
        <v>149</v>
      </c>
      <c r="D12" s="153" t="s">
        <v>150</v>
      </c>
      <c r="E12" s="154" t="s">
        <v>624</v>
      </c>
      <c r="F12" s="154" t="s">
        <v>625</v>
      </c>
      <c r="G12" s="155" t="s">
        <v>140</v>
      </c>
      <c r="H12" s="155" t="s">
        <v>140</v>
      </c>
      <c r="I12" s="154" t="s">
        <v>151</v>
      </c>
      <c r="J12" s="154" t="s">
        <v>152</v>
      </c>
      <c r="K12" s="150" t="s">
        <v>431</v>
      </c>
      <c r="M12" s="704" t="s">
        <v>451</v>
      </c>
      <c r="N12" s="705" t="s">
        <v>153</v>
      </c>
    </row>
    <row r="13" spans="1:14" ht="114.6" thickBot="1">
      <c r="A13" s="1039"/>
      <c r="B13" s="1042"/>
      <c r="C13" s="1044"/>
      <c r="D13" s="706" t="s">
        <v>150</v>
      </c>
      <c r="E13" s="707" t="s">
        <v>154</v>
      </c>
      <c r="F13" s="707" t="s">
        <v>155</v>
      </c>
      <c r="G13" s="708" t="s">
        <v>140</v>
      </c>
      <c r="H13" s="708" t="s">
        <v>140</v>
      </c>
      <c r="I13" s="707" t="s">
        <v>156</v>
      </c>
      <c r="J13" s="707" t="s">
        <v>157</v>
      </c>
      <c r="K13" s="709" t="s">
        <v>431</v>
      </c>
      <c r="M13" s="710" t="s">
        <v>452</v>
      </c>
      <c r="N13" s="711" t="s">
        <v>452</v>
      </c>
    </row>
    <row r="14" spans="1:14" ht="148.19999999999999">
      <c r="A14" s="1020" t="s">
        <v>158</v>
      </c>
      <c r="B14" s="712" t="s">
        <v>159</v>
      </c>
      <c r="C14" s="713" t="s">
        <v>160</v>
      </c>
      <c r="D14" s="714" t="s">
        <v>161</v>
      </c>
      <c r="E14" s="715" t="s">
        <v>453</v>
      </c>
      <c r="F14" s="715" t="s">
        <v>454</v>
      </c>
      <c r="G14" s="716" t="s">
        <v>140</v>
      </c>
      <c r="H14" s="716" t="s">
        <v>140</v>
      </c>
      <c r="I14" s="715" t="s">
        <v>455</v>
      </c>
      <c r="J14" s="715" t="s">
        <v>456</v>
      </c>
      <c r="K14" s="148" t="s">
        <v>431</v>
      </c>
      <c r="M14" s="717" t="s">
        <v>457</v>
      </c>
      <c r="N14" s="718" t="s">
        <v>457</v>
      </c>
    </row>
    <row r="15" spans="1:14" ht="91.8" thickBot="1">
      <c r="A15" s="1022"/>
      <c r="B15" s="719" t="s">
        <v>162</v>
      </c>
      <c r="C15" s="720" t="s">
        <v>163</v>
      </c>
      <c r="D15" s="156" t="s">
        <v>164</v>
      </c>
      <c r="E15" s="157" t="s">
        <v>165</v>
      </c>
      <c r="F15" s="157" t="s">
        <v>166</v>
      </c>
      <c r="G15" s="158" t="s">
        <v>140</v>
      </c>
      <c r="H15" s="158" t="s">
        <v>140</v>
      </c>
      <c r="I15" s="157" t="s">
        <v>458</v>
      </c>
      <c r="J15" s="157" t="s">
        <v>167</v>
      </c>
      <c r="K15" s="152" t="s">
        <v>431</v>
      </c>
      <c r="M15" s="721" t="s">
        <v>459</v>
      </c>
      <c r="N15" s="722" t="s">
        <v>459</v>
      </c>
    </row>
    <row r="16" spans="1:14" ht="91.8" thickBot="1">
      <c r="A16" s="723" t="s">
        <v>168</v>
      </c>
      <c r="B16" s="1045" t="s">
        <v>169</v>
      </c>
      <c r="C16" s="724" t="s">
        <v>170</v>
      </c>
      <c r="D16" s="159" t="s">
        <v>171</v>
      </c>
      <c r="E16" s="160" t="s">
        <v>172</v>
      </c>
      <c r="F16" s="160" t="s">
        <v>173</v>
      </c>
      <c r="G16" s="161" t="s">
        <v>140</v>
      </c>
      <c r="H16" s="161" t="s">
        <v>140</v>
      </c>
      <c r="I16" s="160" t="s">
        <v>460</v>
      </c>
      <c r="J16" s="160" t="s">
        <v>461</v>
      </c>
      <c r="K16" s="148" t="s">
        <v>431</v>
      </c>
      <c r="M16" s="725" t="s">
        <v>462</v>
      </c>
      <c r="N16" s="726" t="s">
        <v>462</v>
      </c>
    </row>
    <row r="17" spans="1:14" ht="91.8" thickBot="1">
      <c r="A17" s="723" t="s">
        <v>174</v>
      </c>
      <c r="B17" s="1046"/>
      <c r="C17" s="727"/>
      <c r="D17" s="162" t="s">
        <v>175</v>
      </c>
      <c r="E17" s="163" t="s">
        <v>176</v>
      </c>
      <c r="F17" s="163" t="s">
        <v>177</v>
      </c>
      <c r="G17" s="164" t="s">
        <v>140</v>
      </c>
      <c r="H17" s="164" t="s">
        <v>140</v>
      </c>
      <c r="I17" s="163" t="s">
        <v>178</v>
      </c>
      <c r="J17" s="163" t="s">
        <v>179</v>
      </c>
      <c r="K17" s="152" t="s">
        <v>431</v>
      </c>
      <c r="L17" s="165"/>
      <c r="M17" s="728" t="s">
        <v>463</v>
      </c>
      <c r="N17" s="729" t="s">
        <v>463</v>
      </c>
    </row>
    <row r="18" spans="1:14" ht="68.400000000000006">
      <c r="A18" s="1020" t="s">
        <v>180</v>
      </c>
      <c r="B18" s="1023" t="s">
        <v>181</v>
      </c>
      <c r="C18" s="166" t="s">
        <v>182</v>
      </c>
      <c r="D18" s="167" t="s">
        <v>183</v>
      </c>
      <c r="E18" s="167" t="s">
        <v>464</v>
      </c>
      <c r="F18" s="167" t="s">
        <v>465</v>
      </c>
      <c r="G18" s="730" t="s">
        <v>140</v>
      </c>
      <c r="H18" s="730" t="s">
        <v>140</v>
      </c>
      <c r="I18" s="168" t="s">
        <v>184</v>
      </c>
      <c r="J18" s="168" t="s">
        <v>185</v>
      </c>
      <c r="K18" s="148" t="s">
        <v>431</v>
      </c>
      <c r="L18" s="144"/>
      <c r="M18" s="731" t="s">
        <v>466</v>
      </c>
      <c r="N18" s="732" t="s">
        <v>466</v>
      </c>
    </row>
    <row r="19" spans="1:14" ht="69" thickBot="1">
      <c r="A19" s="1021"/>
      <c r="B19" s="1024"/>
      <c r="C19" s="169" t="s">
        <v>186</v>
      </c>
      <c r="D19" s="170" t="s">
        <v>183</v>
      </c>
      <c r="E19" s="172" t="s">
        <v>467</v>
      </c>
      <c r="F19" s="172" t="s">
        <v>468</v>
      </c>
      <c r="G19" s="171" t="s">
        <v>140</v>
      </c>
      <c r="H19" s="171" t="s">
        <v>140</v>
      </c>
      <c r="I19" s="172" t="s">
        <v>469</v>
      </c>
      <c r="J19" s="172" t="s">
        <v>470</v>
      </c>
      <c r="K19" s="152" t="s">
        <v>431</v>
      </c>
      <c r="L19" s="897"/>
      <c r="M19" s="733" t="s">
        <v>466</v>
      </c>
      <c r="N19" s="734" t="s">
        <v>466</v>
      </c>
    </row>
    <row r="20" spans="1:14" ht="57">
      <c r="A20" s="1021"/>
      <c r="B20" s="1023" t="s">
        <v>187</v>
      </c>
      <c r="C20" s="173" t="s">
        <v>188</v>
      </c>
      <c r="D20" s="174" t="s">
        <v>471</v>
      </c>
      <c r="E20" s="175" t="s">
        <v>472</v>
      </c>
      <c r="F20" s="175" t="s">
        <v>472</v>
      </c>
      <c r="G20" s="735" t="s">
        <v>140</v>
      </c>
      <c r="H20" s="735" t="s">
        <v>140</v>
      </c>
      <c r="I20" s="175" t="s">
        <v>473</v>
      </c>
      <c r="J20" s="175" t="s">
        <v>189</v>
      </c>
      <c r="K20" s="148" t="s">
        <v>431</v>
      </c>
      <c r="L20" s="897"/>
      <c r="M20" s="736" t="s">
        <v>474</v>
      </c>
      <c r="N20" s="737" t="s">
        <v>474</v>
      </c>
    </row>
    <row r="21" spans="1:14" ht="80.400000000000006" thickBot="1">
      <c r="A21" s="1022"/>
      <c r="B21" s="1024"/>
      <c r="C21" s="176" t="s">
        <v>190</v>
      </c>
      <c r="D21" s="177" t="s">
        <v>191</v>
      </c>
      <c r="E21" s="178" t="s">
        <v>192</v>
      </c>
      <c r="F21" s="178" t="s">
        <v>193</v>
      </c>
      <c r="G21" s="179" t="s">
        <v>140</v>
      </c>
      <c r="H21" s="179" t="s">
        <v>140</v>
      </c>
      <c r="I21" s="178" t="s">
        <v>475</v>
      </c>
      <c r="J21" s="178" t="s">
        <v>194</v>
      </c>
      <c r="K21" s="152" t="s">
        <v>431</v>
      </c>
      <c r="L21" s="165"/>
      <c r="M21" s="898" t="s">
        <v>474</v>
      </c>
      <c r="N21" s="899" t="s">
        <v>474</v>
      </c>
    </row>
  </sheetData>
  <mergeCells count="34">
    <mergeCell ref="A18:A21"/>
    <mergeCell ref="B18:B19"/>
    <mergeCell ref="B20:B21"/>
    <mergeCell ref="H5:H7"/>
    <mergeCell ref="C8:C10"/>
    <mergeCell ref="D8:D10"/>
    <mergeCell ref="E8:E10"/>
    <mergeCell ref="F8:F10"/>
    <mergeCell ref="G8:G10"/>
    <mergeCell ref="H8:H10"/>
    <mergeCell ref="A11:A13"/>
    <mergeCell ref="B11:B13"/>
    <mergeCell ref="C12:C13"/>
    <mergeCell ref="A14:A15"/>
    <mergeCell ref="B16:B17"/>
    <mergeCell ref="K2:K4"/>
    <mergeCell ref="M2:M4"/>
    <mergeCell ref="N2:N4"/>
    <mergeCell ref="A5:A10"/>
    <mergeCell ref="B5:B10"/>
    <mergeCell ref="C5:C7"/>
    <mergeCell ref="D5:D7"/>
    <mergeCell ref="E5:E7"/>
    <mergeCell ref="F5:F7"/>
    <mergeCell ref="G5:G7"/>
    <mergeCell ref="A1:J1"/>
    <mergeCell ref="A2:A4"/>
    <mergeCell ref="B2:B4"/>
    <mergeCell ref="C2:C4"/>
    <mergeCell ref="D2:D4"/>
    <mergeCell ref="E2:F3"/>
    <mergeCell ref="G2:H3"/>
    <mergeCell ref="I2:I4"/>
    <mergeCell ref="J2:J4"/>
  </mergeCells>
  <pageMargins left="0.70866141732283505" right="0.70866141732283505" top="0.25" bottom="0.25" header="0.31496062992126" footer="0.31496062992126"/>
  <pageSetup paperSize="8" scale="71" fitToHeight="3" orientation="landscape" r:id="rId1"/>
  <rowBreaks count="1" manualBreakCount="1">
    <brk id="1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53E51-EDD6-4A17-B07A-6000B762EFA5}">
  <dimension ref="A1:S21"/>
  <sheetViews>
    <sheetView showGridLines="0" zoomScale="80" zoomScaleNormal="80" workbookViewId="0">
      <pane ySplit="1" topLeftCell="A2" activePane="bottomLeft" state="frozen"/>
      <selection sqref="A1:J22"/>
      <selection pane="bottomLeft" activeCell="H1" sqref="H1:H1048576"/>
    </sheetView>
  </sheetViews>
  <sheetFormatPr defaultColWidth="17.6640625" defaultRowHeight="30.6" customHeight="1"/>
  <cols>
    <col min="1" max="1" width="3.88671875" style="296" customWidth="1"/>
    <col min="2" max="2" width="68.6640625" style="1125" customWidth="1"/>
    <col min="3" max="3" width="18.109375" style="296" customWidth="1"/>
    <col min="4" max="4" width="32.44140625" style="296" customWidth="1"/>
    <col min="5" max="5" width="19" style="296" customWidth="1"/>
    <col min="6" max="8" width="0" style="296" hidden="1" customWidth="1"/>
    <col min="9" max="16384" width="17.6640625" style="296"/>
  </cols>
  <sheetData>
    <row r="1" spans="1:19" ht="30.6" customHeight="1">
      <c r="B1" s="1123" t="s">
        <v>266</v>
      </c>
      <c r="C1" s="428"/>
      <c r="D1" s="428" t="s">
        <v>265</v>
      </c>
      <c r="E1" s="429" t="s">
        <v>604</v>
      </c>
      <c r="F1" s="430" t="s">
        <v>605</v>
      </c>
      <c r="G1" s="430" t="s">
        <v>606</v>
      </c>
      <c r="H1" s="848" t="s">
        <v>524</v>
      </c>
    </row>
    <row r="2" spans="1:19" s="589" customFormat="1" ht="36" customHeight="1">
      <c r="A2" s="587"/>
      <c r="B2" s="1124" t="s">
        <v>603</v>
      </c>
      <c r="C2" s="301" t="s">
        <v>268</v>
      </c>
      <c r="D2" s="301" t="s">
        <v>8</v>
      </c>
      <c r="E2" s="911">
        <v>2000000</v>
      </c>
      <c r="F2" s="911"/>
      <c r="G2" s="911"/>
      <c r="H2" s="587"/>
      <c r="I2" s="587"/>
      <c r="J2" s="587"/>
      <c r="K2" s="587"/>
      <c r="L2" s="587"/>
      <c r="M2" s="587"/>
      <c r="N2" s="587"/>
      <c r="O2" s="587"/>
      <c r="P2" s="587"/>
      <c r="Q2" s="587"/>
      <c r="R2" s="587"/>
      <c r="S2" s="588">
        <v>52824586</v>
      </c>
    </row>
    <row r="3" spans="1:19" s="589" customFormat="1" ht="36" customHeight="1">
      <c r="A3" s="587"/>
      <c r="B3" s="1124" t="s">
        <v>603</v>
      </c>
      <c r="C3" s="301" t="s">
        <v>268</v>
      </c>
      <c r="D3" s="301" t="s">
        <v>9</v>
      </c>
      <c r="E3" s="911">
        <v>1500000</v>
      </c>
      <c r="F3" s="911"/>
      <c r="G3" s="911"/>
      <c r="H3" s="587"/>
      <c r="I3" s="587"/>
      <c r="J3" s="587"/>
      <c r="K3" s="587"/>
      <c r="L3" s="587"/>
      <c r="M3" s="587"/>
      <c r="N3" s="587"/>
      <c r="O3" s="587"/>
      <c r="P3" s="587"/>
      <c r="Q3" s="587"/>
      <c r="R3" s="587"/>
      <c r="S3" s="590"/>
    </row>
    <row r="4" spans="1:19" s="589" customFormat="1" ht="36" customHeight="1">
      <c r="A4" s="587"/>
      <c r="B4" s="1124" t="s">
        <v>603</v>
      </c>
      <c r="C4" s="301" t="s">
        <v>268</v>
      </c>
      <c r="D4" s="301" t="s">
        <v>10</v>
      </c>
      <c r="E4" s="911">
        <v>1500000</v>
      </c>
      <c r="F4" s="911"/>
      <c r="G4" s="911"/>
      <c r="H4" s="587"/>
      <c r="I4" s="587"/>
      <c r="J4" s="587"/>
      <c r="K4" s="587"/>
      <c r="L4" s="587"/>
      <c r="M4" s="587"/>
      <c r="N4" s="587"/>
      <c r="O4" s="587"/>
      <c r="P4" s="587"/>
      <c r="Q4" s="587"/>
      <c r="R4" s="587"/>
      <c r="S4" s="588">
        <v>1086576.82</v>
      </c>
    </row>
    <row r="5" spans="1:19" s="589" customFormat="1" ht="36" customHeight="1">
      <c r="A5" s="587"/>
      <c r="B5" s="1124" t="s">
        <v>603</v>
      </c>
      <c r="C5" s="301" t="s">
        <v>268</v>
      </c>
      <c r="D5" s="301" t="s">
        <v>11</v>
      </c>
      <c r="E5" s="911">
        <v>1500000</v>
      </c>
      <c r="F5" s="911"/>
      <c r="G5" s="911"/>
      <c r="H5" s="587"/>
      <c r="I5" s="587"/>
      <c r="J5" s="587"/>
      <c r="K5" s="587"/>
      <c r="L5" s="587"/>
      <c r="M5" s="587"/>
      <c r="N5" s="587"/>
      <c r="O5" s="587"/>
      <c r="P5" s="587"/>
      <c r="Q5" s="587"/>
      <c r="R5" s="587"/>
      <c r="S5" s="588">
        <v>6742590.5700000012</v>
      </c>
    </row>
    <row r="6" spans="1:19" ht="36.6" customHeight="1">
      <c r="B6" s="1124" t="s">
        <v>603</v>
      </c>
      <c r="C6" s="301" t="s">
        <v>268</v>
      </c>
      <c r="D6" s="301" t="s">
        <v>7</v>
      </c>
      <c r="E6" s="911">
        <v>4000000</v>
      </c>
      <c r="F6" s="911"/>
      <c r="G6" s="911"/>
    </row>
    <row r="7" spans="1:19" ht="39" customHeight="1">
      <c r="A7" s="293"/>
      <c r="B7" s="1124" t="s">
        <v>607</v>
      </c>
      <c r="C7" s="301" t="s">
        <v>269</v>
      </c>
      <c r="D7" s="301" t="s">
        <v>34</v>
      </c>
      <c r="E7" s="911"/>
      <c r="F7" s="911"/>
      <c r="G7" s="911"/>
      <c r="H7" s="294"/>
      <c r="I7" s="294"/>
      <c r="J7" s="294"/>
      <c r="K7" s="294"/>
      <c r="L7" s="294"/>
      <c r="M7" s="294"/>
      <c r="N7" s="294"/>
      <c r="O7" s="294"/>
      <c r="P7" s="294"/>
      <c r="Q7" s="294"/>
      <c r="R7" s="294"/>
      <c r="S7" s="295"/>
    </row>
    <row r="8" spans="1:19" ht="30.6" customHeight="1">
      <c r="A8" s="294"/>
      <c r="B8" s="1124" t="s">
        <v>609</v>
      </c>
      <c r="C8" s="301" t="s">
        <v>269</v>
      </c>
      <c r="D8" s="301" t="s">
        <v>29</v>
      </c>
      <c r="E8" s="911">
        <v>1000000</v>
      </c>
      <c r="F8" s="911"/>
      <c r="G8" s="911"/>
      <c r="H8" s="294"/>
      <c r="I8" s="294"/>
      <c r="J8" s="294"/>
      <c r="K8" s="294"/>
      <c r="L8" s="294"/>
      <c r="M8" s="294"/>
      <c r="N8" s="294"/>
      <c r="O8" s="294"/>
      <c r="P8" s="294"/>
      <c r="Q8" s="294"/>
      <c r="R8" s="294"/>
      <c r="S8" s="297">
        <v>6823257.3400000008</v>
      </c>
    </row>
    <row r="9" spans="1:19" ht="30.6" customHeight="1">
      <c r="A9" s="294"/>
      <c r="B9" s="1124" t="s">
        <v>608</v>
      </c>
      <c r="C9" s="301" t="s">
        <v>269</v>
      </c>
      <c r="D9" s="301" t="s">
        <v>30</v>
      </c>
      <c r="E9" s="911">
        <v>8000000</v>
      </c>
      <c r="F9" s="911"/>
      <c r="G9" s="911"/>
      <c r="H9" s="294"/>
      <c r="I9" s="294"/>
      <c r="J9" s="294"/>
      <c r="K9" s="294"/>
      <c r="L9" s="294"/>
      <c r="M9" s="294"/>
      <c r="N9" s="294"/>
      <c r="O9" s="294"/>
      <c r="P9" s="294"/>
      <c r="Q9" s="294"/>
      <c r="R9" s="294"/>
      <c r="S9" s="297">
        <v>19804166.41</v>
      </c>
    </row>
    <row r="10" spans="1:19" ht="30.6" customHeight="1">
      <c r="A10" s="294"/>
      <c r="B10" s="1124" t="s">
        <v>658</v>
      </c>
      <c r="C10" s="301" t="s">
        <v>268</v>
      </c>
      <c r="D10" s="301" t="s">
        <v>8</v>
      </c>
      <c r="E10" s="911">
        <v>500000</v>
      </c>
      <c r="F10" s="911"/>
      <c r="G10" s="911"/>
      <c r="H10" s="294"/>
      <c r="I10" s="294"/>
      <c r="J10" s="294"/>
      <c r="K10" s="294"/>
      <c r="L10" s="294"/>
      <c r="M10" s="294"/>
      <c r="N10" s="294"/>
      <c r="O10" s="294"/>
      <c r="P10" s="294"/>
      <c r="Q10" s="294"/>
      <c r="R10" s="294"/>
      <c r="S10" s="298"/>
    </row>
    <row r="11" spans="1:19" ht="30.6" customHeight="1">
      <c r="A11" s="294"/>
      <c r="B11" s="1124" t="s">
        <v>658</v>
      </c>
      <c r="C11" s="301" t="s">
        <v>268</v>
      </c>
      <c r="D11" s="301" t="s">
        <v>9</v>
      </c>
      <c r="E11" s="911">
        <v>500000</v>
      </c>
      <c r="F11" s="911"/>
      <c r="G11" s="911"/>
      <c r="H11" s="294"/>
      <c r="I11" s="294"/>
      <c r="J11" s="294"/>
      <c r="K11" s="294"/>
      <c r="L11" s="294"/>
      <c r="M11" s="294"/>
      <c r="N11" s="294"/>
      <c r="O11" s="294"/>
      <c r="P11" s="294"/>
      <c r="Q11" s="294"/>
      <c r="R11" s="294"/>
      <c r="S11" s="298"/>
    </row>
    <row r="12" spans="1:19" ht="30.6" customHeight="1" thickBot="1">
      <c r="A12" s="299"/>
      <c r="B12" s="1124" t="s">
        <v>659</v>
      </c>
      <c r="C12" s="301" t="s">
        <v>268</v>
      </c>
      <c r="D12" s="301" t="s">
        <v>8</v>
      </c>
      <c r="E12" s="911"/>
      <c r="F12" s="911"/>
      <c r="G12" s="911"/>
      <c r="H12" s="294"/>
      <c r="I12" s="294"/>
      <c r="J12" s="294"/>
      <c r="K12" s="294"/>
      <c r="L12" s="294"/>
      <c r="M12" s="294"/>
      <c r="N12" s="294"/>
      <c r="O12" s="294"/>
      <c r="P12" s="294"/>
      <c r="Q12" s="294"/>
      <c r="R12" s="294"/>
      <c r="S12" s="300">
        <v>87281177.140000001</v>
      </c>
    </row>
    <row r="13" spans="1:19" ht="30.6" customHeight="1" thickTop="1">
      <c r="A13" s="294"/>
      <c r="B13" s="1124"/>
      <c r="C13" s="301"/>
      <c r="D13" s="301"/>
      <c r="E13" s="432"/>
      <c r="F13" s="432"/>
      <c r="G13" s="432"/>
      <c r="H13" s="294"/>
      <c r="I13" s="294"/>
      <c r="J13" s="294"/>
      <c r="K13" s="294"/>
      <c r="L13" s="294"/>
      <c r="M13" s="294"/>
      <c r="N13" s="294"/>
      <c r="O13" s="294"/>
      <c r="P13" s="294"/>
      <c r="Q13" s="294"/>
      <c r="R13" s="294"/>
      <c r="S13" s="297">
        <v>52824586</v>
      </c>
    </row>
    <row r="14" spans="1:19" ht="30.6" customHeight="1">
      <c r="A14" s="294"/>
      <c r="B14" s="1124"/>
      <c r="C14" s="301"/>
      <c r="D14" s="301"/>
      <c r="E14" s="432"/>
      <c r="F14" s="432"/>
      <c r="G14" s="432"/>
      <c r="H14" s="294"/>
      <c r="I14" s="294"/>
      <c r="J14" s="294"/>
      <c r="K14" s="294"/>
      <c r="L14" s="294"/>
      <c r="M14" s="294"/>
      <c r="N14" s="294"/>
      <c r="O14" s="294"/>
      <c r="P14" s="294"/>
      <c r="Q14" s="294"/>
      <c r="R14" s="294"/>
      <c r="S14" s="297">
        <v>1086576.82</v>
      </c>
    </row>
    <row r="15" spans="1:19" ht="30.6" customHeight="1">
      <c r="A15" s="294"/>
      <c r="B15" s="1124"/>
      <c r="C15" s="301"/>
      <c r="D15" s="301"/>
      <c r="E15" s="432"/>
      <c r="F15" s="432"/>
      <c r="G15" s="432"/>
      <c r="H15" s="294"/>
      <c r="I15" s="294"/>
      <c r="J15" s="294"/>
      <c r="K15" s="294"/>
      <c r="L15" s="294"/>
      <c r="M15" s="294"/>
      <c r="N15" s="294"/>
      <c r="O15" s="294"/>
      <c r="P15" s="294"/>
      <c r="Q15" s="294"/>
      <c r="R15" s="294"/>
      <c r="S15" s="297">
        <v>6742590.5700000012</v>
      </c>
    </row>
    <row r="16" spans="1:19" ht="30.6" customHeight="1">
      <c r="A16" s="294"/>
      <c r="B16" s="1124"/>
      <c r="C16" s="301"/>
      <c r="D16" s="301"/>
      <c r="E16" s="432"/>
      <c r="F16" s="432"/>
      <c r="G16" s="432"/>
      <c r="H16" s="294"/>
      <c r="I16" s="294"/>
      <c r="J16" s="294"/>
      <c r="K16" s="294"/>
      <c r="L16" s="294"/>
      <c r="M16" s="294"/>
      <c r="N16" s="294"/>
      <c r="O16" s="294"/>
      <c r="P16" s="294"/>
      <c r="Q16" s="294"/>
      <c r="R16" s="294"/>
      <c r="S16" s="297">
        <v>6823257.3400000008</v>
      </c>
    </row>
    <row r="17" spans="1:19" ht="30.6" customHeight="1">
      <c r="A17" s="294"/>
      <c r="B17" s="1124"/>
      <c r="C17" s="301"/>
      <c r="D17" s="301"/>
      <c r="E17" s="432"/>
      <c r="F17" s="432"/>
      <c r="G17" s="432"/>
      <c r="H17" s="294"/>
      <c r="I17" s="294"/>
      <c r="J17" s="294"/>
      <c r="K17" s="294"/>
      <c r="L17" s="294"/>
      <c r="M17" s="294"/>
      <c r="N17" s="294"/>
      <c r="O17" s="294"/>
      <c r="P17" s="294"/>
      <c r="Q17" s="294"/>
      <c r="R17" s="294"/>
      <c r="S17" s="297">
        <v>19804166.41</v>
      </c>
    </row>
    <row r="18" spans="1:19" ht="36" customHeight="1">
      <c r="A18" s="294"/>
      <c r="B18" s="1124"/>
      <c r="C18" s="301"/>
      <c r="D18" s="301"/>
      <c r="E18" s="432"/>
      <c r="F18" s="432"/>
      <c r="G18" s="432"/>
      <c r="H18" s="294"/>
      <c r="I18" s="294"/>
      <c r="J18" s="294"/>
      <c r="K18" s="294"/>
      <c r="L18" s="294"/>
      <c r="M18" s="294"/>
      <c r="N18" s="294"/>
      <c r="O18" s="294"/>
      <c r="P18" s="294"/>
      <c r="Q18" s="294"/>
      <c r="R18" s="294"/>
      <c r="S18" s="298"/>
    </row>
    <row r="19" spans="1:19" ht="30.6" customHeight="1">
      <c r="A19" s="294"/>
      <c r="B19" s="1124"/>
      <c r="C19" s="301"/>
      <c r="D19" s="301"/>
      <c r="E19" s="432"/>
      <c r="F19" s="432"/>
      <c r="G19" s="432"/>
      <c r="H19" s="294"/>
      <c r="I19" s="294"/>
      <c r="J19" s="294"/>
      <c r="K19" s="294"/>
      <c r="L19" s="294"/>
      <c r="M19" s="294"/>
      <c r="N19" s="294"/>
      <c r="O19" s="294"/>
      <c r="P19" s="294"/>
      <c r="Q19" s="294"/>
      <c r="R19" s="294"/>
      <c r="S19" s="298"/>
    </row>
    <row r="20" spans="1:19" ht="30.6" customHeight="1" thickBot="1">
      <c r="A20" s="299"/>
      <c r="B20" s="1124"/>
      <c r="C20" s="301"/>
      <c r="D20" s="301"/>
      <c r="E20" s="432"/>
      <c r="F20" s="432"/>
      <c r="G20" s="432"/>
      <c r="H20" s="294"/>
      <c r="I20" s="294"/>
      <c r="J20" s="294"/>
      <c r="K20" s="294"/>
      <c r="L20" s="294"/>
      <c r="M20" s="294"/>
      <c r="N20" s="294"/>
      <c r="O20" s="294"/>
      <c r="P20" s="294"/>
      <c r="Q20" s="294"/>
      <c r="R20" s="294"/>
      <c r="S20" s="300">
        <v>87281177.140000001</v>
      </c>
    </row>
    <row r="21" spans="1:19" ht="30.6" customHeight="1" thickTop="1"/>
  </sheetData>
  <sortState xmlns:xlrd2="http://schemas.microsoft.com/office/spreadsheetml/2017/richdata2" ref="A2:S7">
    <sortCondition ref="A2:A7"/>
  </sortState>
  <dataValidations count="1">
    <dataValidation type="list" allowBlank="1" showInputMessage="1" showErrorMessage="1" sqref="D2:D20" xr:uid="{61396AAB-6D06-4325-89D6-E2B9455C3F47}">
      <formula1>INDIRECT($C2)</formula1>
    </dataValidation>
  </dataValidations>
  <pageMargins left="0.7" right="0.7" top="0.75" bottom="0.75" header="0.3" footer="0.3"/>
  <pageSetup paperSize="9"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3DFB47F-67C3-4383-9E26-C56F8A0CA7A2}">
          <x14:formula1>
            <xm:f>Funding_2023!$Y$4:$Y$6</xm:f>
          </x14:formula1>
          <xm:sqref>C2:C20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36BB-4DA8-4A48-B558-53054084E072}">
  <dimension ref="A1:AA40"/>
  <sheetViews>
    <sheetView showGridLines="0" tabSelected="1" workbookViewId="0">
      <selection activeCell="Y21" sqref="Y21"/>
    </sheetView>
  </sheetViews>
  <sheetFormatPr defaultColWidth="9.109375" defaultRowHeight="10.199999999999999"/>
  <cols>
    <col min="1" max="1" width="28.109375" style="6" customWidth="1"/>
    <col min="2" max="2" width="3" style="67" customWidth="1"/>
    <col min="3" max="5" width="9.33203125" style="6" hidden="1" customWidth="1"/>
    <col min="6" max="8" width="9.33203125" style="6" customWidth="1"/>
    <col min="9" max="9" width="8.33203125" style="6" customWidth="1"/>
    <col min="10" max="11" width="9.33203125" style="6" hidden="1" customWidth="1"/>
    <col min="12" max="12" width="0.44140625" style="6" customWidth="1"/>
    <col min="13" max="14" width="9.33203125" style="6" customWidth="1"/>
    <col min="15" max="17" width="9.33203125" style="6" hidden="1" customWidth="1"/>
    <col min="18" max="21" width="9.33203125" style="6" customWidth="1"/>
    <col min="22" max="22" width="9.33203125" style="6" hidden="1" customWidth="1"/>
    <col min="23" max="24" width="9.109375" style="6"/>
    <col min="25" max="25" width="10.33203125" style="6" bestFit="1" customWidth="1"/>
    <col min="26" max="27" width="10" style="6" bestFit="1" customWidth="1"/>
    <col min="28" max="16384" width="9.109375" style="6"/>
  </cols>
  <sheetData>
    <row r="1" spans="1:27" s="2" customFormat="1" ht="14.4" thickBot="1">
      <c r="A1" s="370" t="s">
        <v>40</v>
      </c>
      <c r="B1" s="370"/>
      <c r="C1" s="370"/>
      <c r="D1" s="370"/>
      <c r="E1" s="370"/>
      <c r="F1" s="370"/>
      <c r="G1" s="370"/>
      <c r="H1" s="743"/>
      <c r="I1" s="370"/>
    </row>
    <row r="2" spans="1:27" ht="28.5" customHeight="1" thickBot="1">
      <c r="A2" s="396" t="s">
        <v>41</v>
      </c>
      <c r="B2" s="397" t="s">
        <v>42</v>
      </c>
      <c r="C2" s="398" t="s">
        <v>637</v>
      </c>
      <c r="D2" s="399" t="s">
        <v>640</v>
      </c>
      <c r="E2" s="400"/>
      <c r="F2" s="400"/>
      <c r="G2" s="399" t="s">
        <v>655</v>
      </c>
      <c r="H2" s="401"/>
      <c r="I2" s="402"/>
      <c r="J2" s="290" t="s">
        <v>46</v>
      </c>
      <c r="K2" s="291"/>
      <c r="L2" s="292"/>
      <c r="M2" s="1107" t="s">
        <v>604</v>
      </c>
      <c r="N2" s="1108"/>
      <c r="O2" s="1108"/>
      <c r="P2" s="1108"/>
      <c r="Q2" s="1109"/>
      <c r="R2" s="1107" t="s">
        <v>264</v>
      </c>
      <c r="S2" s="1108"/>
      <c r="T2" s="1108"/>
      <c r="U2" s="1108"/>
      <c r="V2" s="1109"/>
    </row>
    <row r="3" spans="1:27" ht="21" thickBot="1">
      <c r="A3" s="371" t="s">
        <v>5</v>
      </c>
      <c r="B3" s="372">
        <v>1</v>
      </c>
      <c r="C3" s="373" t="s">
        <v>47</v>
      </c>
      <c r="D3" s="374" t="s">
        <v>48</v>
      </c>
      <c r="E3" s="375" t="s">
        <v>49</v>
      </c>
      <c r="F3" s="373" t="s">
        <v>47</v>
      </c>
      <c r="G3" s="374" t="s">
        <v>654</v>
      </c>
      <c r="H3" s="375" t="s">
        <v>123</v>
      </c>
      <c r="I3" s="376" t="s">
        <v>124</v>
      </c>
      <c r="J3" s="369" t="s">
        <v>50</v>
      </c>
      <c r="K3" s="344" t="s">
        <v>51</v>
      </c>
      <c r="L3" s="345"/>
      <c r="M3" s="347" t="s">
        <v>604</v>
      </c>
      <c r="N3" s="348" t="s">
        <v>605</v>
      </c>
      <c r="O3" s="348" t="s">
        <v>263</v>
      </c>
      <c r="P3" s="348" t="s">
        <v>263</v>
      </c>
      <c r="Q3" s="349" t="s">
        <v>263</v>
      </c>
      <c r="R3" s="359" t="s">
        <v>654</v>
      </c>
      <c r="S3" s="360" t="s">
        <v>656</v>
      </c>
      <c r="T3" s="361" t="s">
        <v>657</v>
      </c>
      <c r="U3" s="361" t="s">
        <v>124</v>
      </c>
      <c r="V3" s="362" t="s">
        <v>124</v>
      </c>
    </row>
    <row r="4" spans="1:27" ht="12.75" customHeight="1">
      <c r="A4" s="377" t="s">
        <v>6</v>
      </c>
      <c r="B4" s="378"/>
      <c r="C4" s="379"/>
      <c r="D4" s="380"/>
      <c r="E4" s="381"/>
      <c r="F4" s="382"/>
      <c r="G4" s="383"/>
      <c r="H4" s="381"/>
      <c r="I4" s="384"/>
      <c r="J4" s="12"/>
      <c r="K4" s="13"/>
      <c r="L4" s="288"/>
      <c r="M4" s="350"/>
      <c r="N4" s="13"/>
      <c r="O4" s="13"/>
      <c r="P4" s="13"/>
      <c r="Q4" s="351"/>
      <c r="R4" s="350"/>
      <c r="S4" s="13"/>
      <c r="T4" s="13"/>
      <c r="U4" s="13"/>
      <c r="V4" s="351"/>
    </row>
    <row r="5" spans="1:27" ht="12.6" customHeight="1">
      <c r="A5" s="72" t="s">
        <v>7</v>
      </c>
      <c r="B5" s="15">
        <v>2</v>
      </c>
      <c r="C5" s="17">
        <v>19319923</v>
      </c>
      <c r="D5" s="18">
        <v>24836338</v>
      </c>
      <c r="E5" s="16">
        <v>24836338</v>
      </c>
      <c r="F5" s="19">
        <v>25891439</v>
      </c>
      <c r="G5" s="18">
        <v>26914913</v>
      </c>
      <c r="H5" s="16">
        <v>28268187</v>
      </c>
      <c r="I5" s="385">
        <v>29566844</v>
      </c>
      <c r="J5" s="21"/>
      <c r="K5" s="22"/>
      <c r="L5" s="289"/>
      <c r="M5" s="352">
        <v>428987.64568827406</v>
      </c>
      <c r="N5" s="22">
        <f>SUMIF('Funding Activities'!$D:$D,A5,'Funding Activities'!$F:$F)</f>
        <v>0</v>
      </c>
      <c r="O5" s="22">
        <f>SUMIF('Funding Activities'!$D:$D,A5,'Funding Activities'!$G:$G)</f>
        <v>0</v>
      </c>
      <c r="P5" s="22"/>
      <c r="Q5" s="353"/>
      <c r="R5" s="352">
        <f>G5+M5</f>
        <v>27343900.645688273</v>
      </c>
      <c r="S5" s="22">
        <f t="shared" ref="S5:T5" si="0">H5+N5</f>
        <v>28268187</v>
      </c>
      <c r="T5" s="22">
        <f t="shared" si="0"/>
        <v>29566844</v>
      </c>
      <c r="U5" s="22"/>
      <c r="V5" s="353"/>
    </row>
    <row r="6" spans="1:27" ht="12.75" customHeight="1">
      <c r="A6" s="72" t="s">
        <v>8</v>
      </c>
      <c r="B6" s="15">
        <v>2</v>
      </c>
      <c r="C6" s="17">
        <v>55432129</v>
      </c>
      <c r="D6" s="18">
        <v>70502830</v>
      </c>
      <c r="E6" s="16">
        <v>70502830</v>
      </c>
      <c r="F6" s="19">
        <v>64749695</v>
      </c>
      <c r="G6" s="18">
        <v>76100780</v>
      </c>
      <c r="H6" s="16">
        <v>88174610</v>
      </c>
      <c r="I6" s="385">
        <v>104766080</v>
      </c>
      <c r="J6" s="21"/>
      <c r="K6" s="22"/>
      <c r="L6" s="289"/>
      <c r="M6" s="352">
        <v>2212944.4537770301</v>
      </c>
      <c r="N6" s="22">
        <f>SUMIF('Funding Activities'!$D:$D,A6,'Funding Activities'!$F:$F)</f>
        <v>0</v>
      </c>
      <c r="O6" s="22">
        <f>SUMIF('Funding Activities'!$D:$D,A6,'Funding Activities'!$G:$G)</f>
        <v>0</v>
      </c>
      <c r="P6" s="22"/>
      <c r="Q6" s="353"/>
      <c r="R6" s="352">
        <f t="shared" ref="R6:R20" si="1">G6+M6</f>
        <v>78313724.45377703</v>
      </c>
      <c r="S6" s="22">
        <f t="shared" ref="S6:S20" si="2">H6+N6</f>
        <v>88174610</v>
      </c>
      <c r="T6" s="22">
        <f t="shared" ref="T6:T20" si="3">I6+O6</f>
        <v>104766080</v>
      </c>
      <c r="U6" s="22"/>
      <c r="V6" s="353"/>
    </row>
    <row r="7" spans="1:27" ht="12.75" customHeight="1">
      <c r="A7" s="72" t="s">
        <v>9</v>
      </c>
      <c r="B7" s="15">
        <v>2</v>
      </c>
      <c r="C7" s="17">
        <v>17927389</v>
      </c>
      <c r="D7" s="18">
        <v>21516000</v>
      </c>
      <c r="E7" s="16">
        <v>21516000</v>
      </c>
      <c r="F7" s="19">
        <v>20355101</v>
      </c>
      <c r="G7" s="18">
        <v>22267430</v>
      </c>
      <c r="H7" s="16">
        <v>23358534</v>
      </c>
      <c r="I7" s="385">
        <v>24456384</v>
      </c>
      <c r="J7" s="21"/>
      <c r="K7" s="22"/>
      <c r="L7" s="289"/>
      <c r="M7" s="352">
        <v>354912.99456284498</v>
      </c>
      <c r="N7" s="22">
        <f>SUMIF('Funding Activities'!$D:$D,A7,'Funding Activities'!$F:$F)</f>
        <v>0</v>
      </c>
      <c r="O7" s="22">
        <f>SUMIF('Funding Activities'!$D:$D,A7,'Funding Activities'!$G:$G)</f>
        <v>0</v>
      </c>
      <c r="P7" s="22"/>
      <c r="Q7" s="353"/>
      <c r="R7" s="352">
        <f t="shared" si="1"/>
        <v>22622342.994562846</v>
      </c>
      <c r="S7" s="22">
        <f t="shared" si="2"/>
        <v>23358534</v>
      </c>
      <c r="T7" s="22">
        <f t="shared" si="3"/>
        <v>24456384</v>
      </c>
      <c r="U7" s="22"/>
      <c r="V7" s="353"/>
    </row>
    <row r="8" spans="1:27" ht="12.75" customHeight="1">
      <c r="A8" s="72" t="s">
        <v>10</v>
      </c>
      <c r="B8" s="15">
        <v>2</v>
      </c>
      <c r="C8" s="17">
        <v>7454961</v>
      </c>
      <c r="D8" s="18">
        <v>8778460</v>
      </c>
      <c r="E8" s="16">
        <v>8778460</v>
      </c>
      <c r="F8" s="19">
        <v>8706318</v>
      </c>
      <c r="G8" s="18">
        <v>9609800</v>
      </c>
      <c r="H8" s="16">
        <v>10080680</v>
      </c>
      <c r="I8" s="385">
        <v>10554472</v>
      </c>
      <c r="J8" s="21"/>
      <c r="K8" s="22"/>
      <c r="L8" s="289"/>
      <c r="M8" s="352">
        <v>153167.33431518712</v>
      </c>
      <c r="N8" s="22">
        <f>SUMIF('Funding Activities'!$D:$D,A8,'Funding Activities'!$F:$F)</f>
        <v>0</v>
      </c>
      <c r="O8" s="22">
        <f>SUMIF('Funding Activities'!$D:$D,A8,'Funding Activities'!$G:$G)</f>
        <v>0</v>
      </c>
      <c r="P8" s="22"/>
      <c r="Q8" s="353"/>
      <c r="R8" s="352">
        <f t="shared" si="1"/>
        <v>9762967.3343151864</v>
      </c>
      <c r="S8" s="22">
        <f t="shared" si="2"/>
        <v>10080680</v>
      </c>
      <c r="T8" s="22">
        <f t="shared" si="3"/>
        <v>10554472</v>
      </c>
      <c r="U8" s="22"/>
      <c r="V8" s="353"/>
      <c r="Y8" s="907"/>
    </row>
    <row r="9" spans="1:27" ht="12.75" customHeight="1">
      <c r="A9" s="72" t="s">
        <v>11</v>
      </c>
      <c r="B9" s="15">
        <v>2</v>
      </c>
      <c r="C9" s="23">
        <v>7036673</v>
      </c>
      <c r="D9" s="24">
        <v>8917850</v>
      </c>
      <c r="E9" s="16">
        <v>8917850</v>
      </c>
      <c r="F9" s="19">
        <v>8582968</v>
      </c>
      <c r="G9" s="18">
        <v>9410300</v>
      </c>
      <c r="H9" s="16">
        <v>9871405</v>
      </c>
      <c r="I9" s="386">
        <v>10335361</v>
      </c>
      <c r="J9" s="21"/>
      <c r="K9" s="22"/>
      <c r="L9" s="289"/>
      <c r="M9" s="352">
        <v>149987.57165666355</v>
      </c>
      <c r="N9" s="22">
        <f>SUMIF('Funding Activities'!$D:$D,A9,'Funding Activities'!$F:$F)</f>
        <v>0</v>
      </c>
      <c r="O9" s="22">
        <f>SUMIF('Funding Activities'!$D:$D,A9,'Funding Activities'!$G:$G)</f>
        <v>0</v>
      </c>
      <c r="P9" s="22"/>
      <c r="Q9" s="353"/>
      <c r="R9" s="352">
        <f t="shared" si="1"/>
        <v>9560287.571656663</v>
      </c>
      <c r="S9" s="22">
        <f t="shared" si="2"/>
        <v>9871405</v>
      </c>
      <c r="T9" s="22">
        <f t="shared" si="3"/>
        <v>10335361</v>
      </c>
      <c r="U9" s="22"/>
      <c r="V9" s="353"/>
      <c r="Y9" s="20"/>
    </row>
    <row r="10" spans="1:27" ht="12.6" customHeight="1">
      <c r="A10" s="72" t="s">
        <v>12</v>
      </c>
      <c r="B10" s="15"/>
      <c r="C10" s="26">
        <v>0</v>
      </c>
      <c r="D10" s="27">
        <v>0</v>
      </c>
      <c r="E10" s="25">
        <v>0</v>
      </c>
      <c r="F10" s="26"/>
      <c r="G10" s="29">
        <v>0</v>
      </c>
      <c r="H10" s="25">
        <v>0</v>
      </c>
      <c r="I10" s="387">
        <v>0</v>
      </c>
      <c r="J10" s="21"/>
      <c r="K10" s="22"/>
      <c r="L10" s="289"/>
      <c r="M10" s="363">
        <f>SUMIF('Funding Activities'!$D:$D,A10,'Funding Activities'!$E:$E)</f>
        <v>0</v>
      </c>
      <c r="N10" s="365">
        <f>SUMIF('Funding Activities'!$D:$D,A10,'Funding Activities'!$F:$F)</f>
        <v>0</v>
      </c>
      <c r="O10" s="365">
        <f>SUMIF('Funding Activities'!$D:$D,A10,'Funding Activities'!$G:$G)</f>
        <v>0</v>
      </c>
      <c r="P10" s="365"/>
      <c r="Q10" s="366"/>
      <c r="R10" s="354">
        <f t="shared" si="1"/>
        <v>0</v>
      </c>
      <c r="S10" s="346">
        <f t="shared" si="2"/>
        <v>0</v>
      </c>
      <c r="T10" s="346">
        <f t="shared" si="3"/>
        <v>0</v>
      </c>
      <c r="U10" s="346"/>
      <c r="V10" s="355"/>
      <c r="Z10" s="908"/>
    </row>
    <row r="11" spans="1:27" ht="12.75" customHeight="1">
      <c r="A11" s="72" t="s">
        <v>13</v>
      </c>
      <c r="B11" s="15"/>
      <c r="C11" s="30">
        <f>'AFS &amp; Performance History'!V22</f>
        <v>570247.21000000008</v>
      </c>
      <c r="D11" s="31">
        <v>607450</v>
      </c>
      <c r="E11" s="25">
        <v>607450</v>
      </c>
      <c r="F11" s="32">
        <v>551569</v>
      </c>
      <c r="G11" s="45">
        <v>1098000</v>
      </c>
      <c r="H11" s="25">
        <v>652520</v>
      </c>
      <c r="I11" s="388">
        <v>685150</v>
      </c>
      <c r="J11" s="21"/>
      <c r="K11" s="22"/>
      <c r="L11" s="289"/>
      <c r="M11" s="363">
        <f>SUMIF('Funding Activities'!$D:$D,A11,'Funding Activities'!$E:$E)</f>
        <v>0</v>
      </c>
      <c r="N11" s="365">
        <f>SUMIF('Funding Activities'!$D:$D,A11,'Funding Activities'!$F:$F)</f>
        <v>0</v>
      </c>
      <c r="O11" s="365">
        <f>SUMIF('Funding Activities'!$D:$D,A11,'Funding Activities'!$G:$G)</f>
        <v>0</v>
      </c>
      <c r="P11" s="365"/>
      <c r="Q11" s="366"/>
      <c r="R11" s="354">
        <f t="shared" si="1"/>
        <v>1098000</v>
      </c>
      <c r="S11" s="346">
        <f t="shared" si="2"/>
        <v>652520</v>
      </c>
      <c r="T11" s="346">
        <f t="shared" si="3"/>
        <v>685150</v>
      </c>
      <c r="U11" s="346"/>
      <c r="V11" s="355"/>
      <c r="Z11" s="908"/>
      <c r="AA11" s="908"/>
    </row>
    <row r="12" spans="1:27" ht="12.75" customHeight="1">
      <c r="A12" s="72" t="s">
        <v>14</v>
      </c>
      <c r="B12" s="15"/>
      <c r="C12" s="26">
        <v>775682</v>
      </c>
      <c r="D12" s="27">
        <v>680000</v>
      </c>
      <c r="E12" s="25">
        <v>1380000</v>
      </c>
      <c r="F12" s="26">
        <v>1577374</v>
      </c>
      <c r="G12" s="31">
        <f>960000+2802000</f>
        <v>3762000</v>
      </c>
      <c r="H12" s="25">
        <f>714000+2325000</f>
        <v>3039000</v>
      </c>
      <c r="I12" s="387">
        <f>749700+2325000</f>
        <v>3074700</v>
      </c>
      <c r="J12" s="21"/>
      <c r="K12" s="22"/>
      <c r="L12" s="289"/>
      <c r="M12" s="363">
        <f>SUMIF('Funding Activities'!$D:$D,A12,'Funding Activities'!$E:$E)</f>
        <v>0</v>
      </c>
      <c r="N12" s="365">
        <f>SUMIF('Funding Activities'!$D:$D,A12,'Funding Activities'!$F:$F)</f>
        <v>0</v>
      </c>
      <c r="O12" s="365">
        <f>SUMIF('Funding Activities'!$D:$D,A12,'Funding Activities'!$G:$G)</f>
        <v>0</v>
      </c>
      <c r="P12" s="365"/>
      <c r="Q12" s="366"/>
      <c r="R12" s="354">
        <f t="shared" si="1"/>
        <v>3762000</v>
      </c>
      <c r="S12" s="346">
        <f t="shared" si="2"/>
        <v>3039000</v>
      </c>
      <c r="T12" s="346">
        <f t="shared" si="3"/>
        <v>3074700</v>
      </c>
      <c r="U12" s="346"/>
      <c r="V12" s="355"/>
      <c r="Z12" s="908"/>
    </row>
    <row r="13" spans="1:27" ht="12.75" customHeight="1">
      <c r="A13" s="72" t="s">
        <v>15</v>
      </c>
      <c r="B13" s="15"/>
      <c r="C13" s="26">
        <v>3915961</v>
      </c>
      <c r="D13" s="28">
        <v>3240000</v>
      </c>
      <c r="E13" s="25">
        <v>3240000</v>
      </c>
      <c r="F13" s="26">
        <v>4639056</v>
      </c>
      <c r="G13" s="31">
        <v>5928800</v>
      </c>
      <c r="H13" s="25">
        <v>6166861</v>
      </c>
      <c r="I13" s="387">
        <v>6456703</v>
      </c>
      <c r="J13" s="21"/>
      <c r="K13" s="22"/>
      <c r="L13" s="289"/>
      <c r="M13" s="363">
        <f>SUMIF('Funding Activities'!$D:$D,A13,'Funding Activities'!$E:$E)</f>
        <v>0</v>
      </c>
      <c r="N13" s="365">
        <f>SUMIF('Funding Activities'!$D:$D,A13,'Funding Activities'!$F:$F)</f>
        <v>0</v>
      </c>
      <c r="O13" s="365">
        <f>SUMIF('Funding Activities'!$D:$D,A13,'Funding Activities'!$G:$G)</f>
        <v>0</v>
      </c>
      <c r="P13" s="365"/>
      <c r="Q13" s="366"/>
      <c r="R13" s="354">
        <f t="shared" si="1"/>
        <v>5928800</v>
      </c>
      <c r="S13" s="346">
        <f t="shared" si="2"/>
        <v>6166861</v>
      </c>
      <c r="T13" s="346">
        <f t="shared" si="3"/>
        <v>6456703</v>
      </c>
      <c r="U13" s="346"/>
      <c r="V13" s="355"/>
      <c r="Z13" s="908"/>
    </row>
    <row r="14" spans="1:27" ht="12.75" customHeight="1">
      <c r="A14" s="72" t="s">
        <v>16</v>
      </c>
      <c r="B14" s="15"/>
      <c r="C14" s="34">
        <v>0</v>
      </c>
      <c r="D14" s="35">
        <v>0</v>
      </c>
      <c r="E14" s="33">
        <v>0</v>
      </c>
      <c r="F14" s="34"/>
      <c r="G14" s="35">
        <v>0</v>
      </c>
      <c r="H14" s="33">
        <v>0</v>
      </c>
      <c r="I14" s="389">
        <v>0</v>
      </c>
      <c r="J14" s="21"/>
      <c r="K14" s="22"/>
      <c r="L14" s="289"/>
      <c r="M14" s="363">
        <f>SUMIF('Funding Activities'!$D:$D,A14,'Funding Activities'!$E:$E)</f>
        <v>0</v>
      </c>
      <c r="N14" s="365">
        <f>SUMIF('Funding Activities'!$D:$D,A14,'Funding Activities'!$F:$F)</f>
        <v>0</v>
      </c>
      <c r="O14" s="365">
        <f>SUMIF('Funding Activities'!$D:$D,A14,'Funding Activities'!$G:$G)</f>
        <v>0</v>
      </c>
      <c r="P14" s="365"/>
      <c r="Q14" s="366"/>
      <c r="R14" s="354">
        <f t="shared" si="1"/>
        <v>0</v>
      </c>
      <c r="S14" s="346">
        <f t="shared" si="2"/>
        <v>0</v>
      </c>
      <c r="T14" s="346">
        <f t="shared" si="3"/>
        <v>0</v>
      </c>
      <c r="U14" s="346"/>
      <c r="V14" s="355"/>
      <c r="Z14" s="908"/>
    </row>
    <row r="15" spans="1:27" ht="12.75" customHeight="1">
      <c r="A15" s="72" t="s">
        <v>17</v>
      </c>
      <c r="B15" s="15"/>
      <c r="C15" s="34">
        <v>141591</v>
      </c>
      <c r="D15" s="35">
        <v>6006500</v>
      </c>
      <c r="E15" s="33">
        <v>6030500</v>
      </c>
      <c r="F15" s="34">
        <v>38651</v>
      </c>
      <c r="G15" s="35">
        <v>2501000</v>
      </c>
      <c r="H15" s="33">
        <v>3751050</v>
      </c>
      <c r="I15" s="389">
        <v>5626100</v>
      </c>
      <c r="J15" s="21"/>
      <c r="K15" s="22"/>
      <c r="L15" s="289"/>
      <c r="M15" s="363">
        <f>SUMIF('Funding Activities'!$D:$D,A15,'Funding Activities'!$E:$E)</f>
        <v>0</v>
      </c>
      <c r="N15" s="365">
        <f>SUMIF('Funding Activities'!$D:$D,A15,'Funding Activities'!$F:$F)</f>
        <v>0</v>
      </c>
      <c r="O15" s="365">
        <f>SUMIF('Funding Activities'!$D:$D,A15,'Funding Activities'!$G:$G)</f>
        <v>0</v>
      </c>
      <c r="P15" s="365"/>
      <c r="Q15" s="366"/>
      <c r="R15" s="354">
        <f t="shared" si="1"/>
        <v>2501000</v>
      </c>
      <c r="S15" s="346">
        <f t="shared" si="2"/>
        <v>3751050</v>
      </c>
      <c r="T15" s="346">
        <f t="shared" si="3"/>
        <v>5626100</v>
      </c>
      <c r="U15" s="346"/>
      <c r="V15" s="355"/>
    </row>
    <row r="16" spans="1:27" ht="12.75" customHeight="1">
      <c r="A16" s="72" t="s">
        <v>18</v>
      </c>
      <c r="B16" s="15"/>
      <c r="C16" s="34">
        <v>217217</v>
      </c>
      <c r="D16" s="35">
        <v>334000</v>
      </c>
      <c r="E16" s="33">
        <v>158980</v>
      </c>
      <c r="F16" s="34">
        <f>134696+24572</f>
        <v>159268</v>
      </c>
      <c r="G16" s="35">
        <v>159000</v>
      </c>
      <c r="H16" s="33">
        <v>167000</v>
      </c>
      <c r="I16" s="389">
        <v>176000</v>
      </c>
      <c r="J16" s="21"/>
      <c r="K16" s="22"/>
      <c r="L16" s="289"/>
      <c r="M16" s="363">
        <f>SUMIF('Funding Activities'!$D:$D,A16,'Funding Activities'!$E:$E)</f>
        <v>0</v>
      </c>
      <c r="N16" s="365">
        <f>SUMIF('Funding Activities'!$D:$D,A16,'Funding Activities'!$F:$F)</f>
        <v>0</v>
      </c>
      <c r="O16" s="365">
        <f>SUMIF('Funding Activities'!$D:$D,A16,'Funding Activities'!$G:$G)</f>
        <v>0</v>
      </c>
      <c r="P16" s="365"/>
      <c r="Q16" s="366"/>
      <c r="R16" s="354">
        <f t="shared" si="1"/>
        <v>159000</v>
      </c>
      <c r="S16" s="346">
        <f t="shared" si="2"/>
        <v>167000</v>
      </c>
      <c r="T16" s="346">
        <f t="shared" si="3"/>
        <v>176000</v>
      </c>
      <c r="U16" s="346"/>
      <c r="V16" s="355"/>
    </row>
    <row r="17" spans="1:22" ht="12.75" customHeight="1">
      <c r="A17" s="72" t="s">
        <v>19</v>
      </c>
      <c r="B17" s="15"/>
      <c r="C17" s="34">
        <v>1083022</v>
      </c>
      <c r="D17" s="35">
        <v>1200000</v>
      </c>
      <c r="E17" s="33">
        <v>1200000</v>
      </c>
      <c r="F17" s="34">
        <v>1098291</v>
      </c>
      <c r="G17" s="35">
        <v>1350000</v>
      </c>
      <c r="H17" s="33">
        <v>1417500</v>
      </c>
      <c r="I17" s="389">
        <v>1488380</v>
      </c>
      <c r="J17" s="21"/>
      <c r="K17" s="22"/>
      <c r="L17" s="289"/>
      <c r="M17" s="363">
        <f>SUMIF('Funding Activities'!$D:$D,A17,'Funding Activities'!$E:$E)</f>
        <v>0</v>
      </c>
      <c r="N17" s="365">
        <f>SUMIF('Funding Activities'!$D:$D,A17,'Funding Activities'!$F:$F)</f>
        <v>0</v>
      </c>
      <c r="O17" s="365">
        <f>SUMIF('Funding Activities'!$D:$D,A17,'Funding Activities'!$G:$G)</f>
        <v>0</v>
      </c>
      <c r="P17" s="365"/>
      <c r="Q17" s="366"/>
      <c r="R17" s="354">
        <f t="shared" si="1"/>
        <v>1350000</v>
      </c>
      <c r="S17" s="346">
        <f t="shared" si="2"/>
        <v>1417500</v>
      </c>
      <c r="T17" s="346">
        <f t="shared" si="3"/>
        <v>1488380</v>
      </c>
      <c r="U17" s="346"/>
      <c r="V17" s="355"/>
    </row>
    <row r="18" spans="1:22" ht="12.75" customHeight="1">
      <c r="A18" s="72" t="s">
        <v>20</v>
      </c>
      <c r="B18" s="15"/>
      <c r="C18" s="34">
        <v>62159165</v>
      </c>
      <c r="D18" s="35">
        <v>43164150</v>
      </c>
      <c r="E18" s="33">
        <v>42854124</v>
      </c>
      <c r="F18" s="34">
        <v>60590121</v>
      </c>
      <c r="G18" s="35">
        <v>71662650</v>
      </c>
      <c r="H18" s="33">
        <v>44668100</v>
      </c>
      <c r="I18" s="389">
        <v>61777200</v>
      </c>
      <c r="J18" s="21"/>
      <c r="K18" s="22"/>
      <c r="L18" s="289"/>
      <c r="M18" s="363">
        <f>SUMIF('Funding Activities'!$D:$D,A18,'Funding Activities'!$E:$E)</f>
        <v>0</v>
      </c>
      <c r="N18" s="365">
        <f>SUMIF('Funding Activities'!$D:$D,A18,'Funding Activities'!$F:$F)</f>
        <v>0</v>
      </c>
      <c r="O18" s="365">
        <f>SUMIF('Funding Activities'!$D:$D,A18,'Funding Activities'!$G:$G)</f>
        <v>0</v>
      </c>
      <c r="P18" s="365"/>
      <c r="Q18" s="366"/>
      <c r="R18" s="354">
        <f t="shared" si="1"/>
        <v>71662650</v>
      </c>
      <c r="S18" s="346">
        <f t="shared" si="2"/>
        <v>44668100</v>
      </c>
      <c r="T18" s="346">
        <f t="shared" si="3"/>
        <v>61777200</v>
      </c>
      <c r="U18" s="346"/>
      <c r="V18" s="355"/>
    </row>
    <row r="19" spans="1:22" ht="12.75" customHeight="1">
      <c r="A19" s="72" t="s">
        <v>21</v>
      </c>
      <c r="B19" s="15">
        <v>2</v>
      </c>
      <c r="C19" s="23">
        <f>331634</f>
        <v>331634</v>
      </c>
      <c r="D19" s="24">
        <f>1728000+30000+201000+765000</f>
        <v>2724000</v>
      </c>
      <c r="E19" s="24">
        <f>1728000+30000+201000+765000</f>
        <v>2724000</v>
      </c>
      <c r="F19" s="23">
        <f>241343</f>
        <v>241343</v>
      </c>
      <c r="G19" s="37">
        <f>66000+30000</f>
        <v>96000</v>
      </c>
      <c r="H19" s="16">
        <f>32000+72000</f>
        <v>104000</v>
      </c>
      <c r="I19" s="386">
        <f>76000+33000</f>
        <v>109000</v>
      </c>
      <c r="J19" s="21"/>
      <c r="K19" s="22"/>
      <c r="L19" s="289"/>
      <c r="M19" s="352">
        <f>SUMIF('Funding Activities'!$D:$D,A19,'Funding Activities'!$E:$E)</f>
        <v>0</v>
      </c>
      <c r="N19" s="22">
        <f>SUMIF('Funding Activities'!$D:$D,A19,'Funding Activities'!$F:$F)</f>
        <v>0</v>
      </c>
      <c r="O19" s="22">
        <f>SUMIF('Funding Activities'!$D:$D,A19,'Funding Activities'!$G:$G)</f>
        <v>0</v>
      </c>
      <c r="P19" s="22"/>
      <c r="Q19" s="353"/>
      <c r="R19" s="352">
        <f t="shared" si="1"/>
        <v>96000</v>
      </c>
      <c r="S19" s="22">
        <f t="shared" si="2"/>
        <v>104000</v>
      </c>
      <c r="T19" s="22">
        <f t="shared" si="3"/>
        <v>109000</v>
      </c>
      <c r="U19" s="22"/>
      <c r="V19" s="353"/>
    </row>
    <row r="20" spans="1:22" ht="12.75" customHeight="1" thickBot="1">
      <c r="A20" s="73" t="s">
        <v>22</v>
      </c>
      <c r="B20" s="390"/>
      <c r="C20" s="391">
        <v>473396</v>
      </c>
      <c r="D20" s="392">
        <v>273670</v>
      </c>
      <c r="E20" s="393">
        <v>273670</v>
      </c>
      <c r="F20" s="391">
        <v>307284</v>
      </c>
      <c r="G20" s="394">
        <f>396000+2500000</f>
        <v>2896000</v>
      </c>
      <c r="H20" s="393">
        <v>197520</v>
      </c>
      <c r="I20" s="395">
        <v>207390</v>
      </c>
      <c r="J20" s="21"/>
      <c r="K20" s="22"/>
      <c r="L20" s="289"/>
      <c r="M20" s="364">
        <v>2000000</v>
      </c>
      <c r="N20" s="367">
        <v>250000</v>
      </c>
      <c r="O20" s="367">
        <f>SUMIF('Funding Activities'!$D:$D,A20,'Funding Activities'!$G:$G)</f>
        <v>0</v>
      </c>
      <c r="P20" s="367"/>
      <c r="Q20" s="368"/>
      <c r="R20" s="356">
        <f t="shared" si="1"/>
        <v>4896000</v>
      </c>
      <c r="S20" s="357">
        <f t="shared" si="2"/>
        <v>447520</v>
      </c>
      <c r="T20" s="357">
        <f t="shared" si="3"/>
        <v>207390</v>
      </c>
      <c r="U20" s="357"/>
      <c r="V20" s="358"/>
    </row>
    <row r="21" spans="1:22" s="40" customFormat="1" ht="24" customHeight="1" thickBot="1">
      <c r="A21" s="403" t="s">
        <v>23</v>
      </c>
      <c r="B21" s="60"/>
      <c r="C21" s="404">
        <f>SUM(C5:C20)</f>
        <v>176838990.20999998</v>
      </c>
      <c r="D21" s="404">
        <f t="shared" ref="D21:I21" si="4">SUM(D5:D20)</f>
        <v>192781248</v>
      </c>
      <c r="E21" s="404">
        <f t="shared" si="4"/>
        <v>193020202</v>
      </c>
      <c r="F21" s="404">
        <f t="shared" si="4"/>
        <v>197488478</v>
      </c>
      <c r="G21" s="404">
        <f t="shared" si="4"/>
        <v>233756673</v>
      </c>
      <c r="H21" s="404">
        <f t="shared" si="4"/>
        <v>219916967</v>
      </c>
      <c r="I21" s="404">
        <f t="shared" si="4"/>
        <v>259279764</v>
      </c>
      <c r="J21" s="38">
        <v>0</v>
      </c>
      <c r="K21" s="39">
        <v>0</v>
      </c>
      <c r="L21" s="39"/>
      <c r="M21" s="423">
        <f t="shared" ref="M21:Q21" si="5">SUM(M5:M20)</f>
        <v>5300000</v>
      </c>
      <c r="N21" s="423">
        <f t="shared" si="5"/>
        <v>250000</v>
      </c>
      <c r="O21" s="423">
        <f t="shared" si="5"/>
        <v>0</v>
      </c>
      <c r="P21" s="423">
        <f t="shared" si="5"/>
        <v>0</v>
      </c>
      <c r="Q21" s="423">
        <f t="shared" si="5"/>
        <v>0</v>
      </c>
      <c r="R21" s="423">
        <f>SUM(R5:R20)</f>
        <v>239056673.00000003</v>
      </c>
      <c r="S21" s="423">
        <f t="shared" ref="S21:V21" si="6">SUM(S5:S20)</f>
        <v>220166967</v>
      </c>
      <c r="T21" s="423">
        <f t="shared" si="6"/>
        <v>259279764</v>
      </c>
      <c r="U21" s="423">
        <f t="shared" si="6"/>
        <v>0</v>
      </c>
      <c r="V21" s="423">
        <f t="shared" si="6"/>
        <v>0</v>
      </c>
    </row>
    <row r="22" spans="1:22" ht="5.0999999999999996" customHeight="1">
      <c r="A22" s="411"/>
      <c r="B22" s="378"/>
      <c r="C22" s="412"/>
      <c r="D22" s="413"/>
      <c r="E22" s="414"/>
      <c r="F22" s="412"/>
      <c r="G22" s="415"/>
      <c r="H22" s="414"/>
      <c r="I22" s="416"/>
      <c r="J22" s="21"/>
      <c r="K22" s="22"/>
      <c r="L22" s="289"/>
      <c r="M22" s="425"/>
      <c r="N22" s="426"/>
      <c r="O22" s="426"/>
      <c r="P22" s="426"/>
      <c r="Q22" s="426"/>
      <c r="R22" s="426"/>
      <c r="S22" s="426"/>
      <c r="T22" s="426"/>
      <c r="U22" s="426"/>
      <c r="V22" s="427"/>
    </row>
    <row r="23" spans="1:22" ht="11.25" customHeight="1">
      <c r="A23" s="417" t="s">
        <v>24</v>
      </c>
      <c r="B23" s="42"/>
      <c r="C23" s="23"/>
      <c r="D23" s="24"/>
      <c r="E23" s="16"/>
      <c r="F23" s="23"/>
      <c r="G23" s="18"/>
      <c r="H23" s="16"/>
      <c r="I23" s="386"/>
      <c r="J23" s="21"/>
      <c r="K23" s="22"/>
      <c r="L23" s="289"/>
      <c r="M23" s="352"/>
      <c r="N23" s="22"/>
      <c r="O23" s="22"/>
      <c r="P23" s="22"/>
      <c r="Q23" s="22"/>
      <c r="R23" s="22"/>
      <c r="S23" s="22"/>
      <c r="T23" s="22"/>
      <c r="U23" s="22"/>
      <c r="V23" s="353"/>
    </row>
    <row r="24" spans="1:22" ht="11.25" customHeight="1">
      <c r="A24" s="72" t="s">
        <v>25</v>
      </c>
      <c r="B24" s="15">
        <v>2</v>
      </c>
      <c r="C24" s="23">
        <v>66795557</v>
      </c>
      <c r="D24" s="24">
        <v>80238665</v>
      </c>
      <c r="E24" s="16">
        <v>80835973</v>
      </c>
      <c r="F24" s="23">
        <v>71598209</v>
      </c>
      <c r="G24" s="18">
        <v>92851601</v>
      </c>
      <c r="H24" s="16">
        <v>81064995</v>
      </c>
      <c r="I24" s="386">
        <v>83743391</v>
      </c>
      <c r="J24" s="21"/>
      <c r="K24" s="22"/>
      <c r="L24" s="289"/>
      <c r="M24" s="352">
        <v>-700000</v>
      </c>
      <c r="N24" s="22">
        <f>SUMIF('Funding Activities'!$D:$D,A24,'Funding Activities'!$F:$F)</f>
        <v>0</v>
      </c>
      <c r="O24" s="22">
        <f>SUMIF('Funding Activities'!$D:$D,A24,'Funding Activities'!$G:$G)</f>
        <v>0</v>
      </c>
      <c r="P24" s="22"/>
      <c r="Q24" s="22"/>
      <c r="R24" s="22">
        <f t="shared" ref="R24:R34" si="7">G24+M24</f>
        <v>92151601</v>
      </c>
      <c r="S24" s="22">
        <f t="shared" ref="S24:S34" si="8">H24+N24</f>
        <v>81064995</v>
      </c>
      <c r="T24" s="22">
        <f t="shared" ref="T24:T34" si="9">I24+O24</f>
        <v>83743391</v>
      </c>
      <c r="U24" s="22"/>
      <c r="V24" s="353"/>
    </row>
    <row r="25" spans="1:22" ht="11.25" customHeight="1">
      <c r="A25" s="72" t="s">
        <v>26</v>
      </c>
      <c r="B25" s="15"/>
      <c r="C25" s="26">
        <v>3183979</v>
      </c>
      <c r="D25" s="27">
        <v>3356500</v>
      </c>
      <c r="E25" s="25">
        <v>3437820</v>
      </c>
      <c r="F25" s="26">
        <v>3147985</v>
      </c>
      <c r="G25" s="29">
        <v>3866030</v>
      </c>
      <c r="H25" s="25">
        <v>3436570</v>
      </c>
      <c r="I25" s="387">
        <v>3598090</v>
      </c>
      <c r="J25" s="21"/>
      <c r="K25" s="22"/>
      <c r="L25" s="289"/>
      <c r="M25" s="363">
        <f>SUMIF('Funding Activities'!$D:$D,A25,'Funding Activities'!$E:$E)</f>
        <v>0</v>
      </c>
      <c r="N25" s="365">
        <f>SUMIF('Funding Activities'!$D:$D,A25,'Funding Activities'!$F:$F)</f>
        <v>0</v>
      </c>
      <c r="O25" s="365">
        <f>SUMIF('Funding Activities'!$D:$D,A25,'Funding Activities'!$G:$G)</f>
        <v>0</v>
      </c>
      <c r="P25" s="365"/>
      <c r="Q25" s="365"/>
      <c r="R25" s="346">
        <f t="shared" si="7"/>
        <v>3866030</v>
      </c>
      <c r="S25" s="346">
        <f t="shared" si="8"/>
        <v>3436570</v>
      </c>
      <c r="T25" s="346">
        <f t="shared" si="9"/>
        <v>3598090</v>
      </c>
      <c r="U25" s="346"/>
      <c r="V25" s="355"/>
    </row>
    <row r="26" spans="1:22" ht="11.25" customHeight="1">
      <c r="A26" s="72" t="s">
        <v>27</v>
      </c>
      <c r="B26" s="15">
        <v>3</v>
      </c>
      <c r="C26" s="26">
        <v>22200438</v>
      </c>
      <c r="D26" s="27">
        <v>23594439</v>
      </c>
      <c r="E26" s="25">
        <v>23594439</v>
      </c>
      <c r="F26" s="26">
        <v>29203021</v>
      </c>
      <c r="G26" s="29">
        <v>16690503</v>
      </c>
      <c r="H26" s="25">
        <v>16138358</v>
      </c>
      <c r="I26" s="387">
        <v>15721936</v>
      </c>
      <c r="J26" s="21"/>
      <c r="K26" s="22"/>
      <c r="L26" s="289"/>
      <c r="M26" s="363">
        <f>SUMIF('Funding Activities'!$D:$D,A26,'Funding Activities'!$E:$E)</f>
        <v>0</v>
      </c>
      <c r="N26" s="365">
        <f>SUMIF('Funding Activities'!$D:$D,A26,'Funding Activities'!$F:$F)</f>
        <v>0</v>
      </c>
      <c r="O26" s="365">
        <f>SUMIF('Funding Activities'!$D:$D,A26,'Funding Activities'!$G:$G)</f>
        <v>0</v>
      </c>
      <c r="P26" s="365"/>
      <c r="Q26" s="365"/>
      <c r="R26" s="346">
        <f t="shared" si="7"/>
        <v>16690503</v>
      </c>
      <c r="S26" s="346">
        <f t="shared" si="8"/>
        <v>16138358</v>
      </c>
      <c r="T26" s="346">
        <f t="shared" si="9"/>
        <v>15721936</v>
      </c>
      <c r="U26" s="346"/>
      <c r="V26" s="355"/>
    </row>
    <row r="27" spans="1:22" ht="11.25" customHeight="1">
      <c r="A27" s="72" t="s">
        <v>28</v>
      </c>
      <c r="B27" s="15">
        <v>2</v>
      </c>
      <c r="C27" s="23">
        <v>11067396</v>
      </c>
      <c r="D27" s="24">
        <v>13221750</v>
      </c>
      <c r="E27" s="16">
        <v>13221750</v>
      </c>
      <c r="F27" s="23">
        <v>13716868</v>
      </c>
      <c r="G27" s="18">
        <v>11884920</v>
      </c>
      <c r="H27" s="16">
        <v>14168360</v>
      </c>
      <c r="I27" s="386">
        <v>14771290</v>
      </c>
      <c r="J27" s="21"/>
      <c r="K27" s="22"/>
      <c r="L27" s="289"/>
      <c r="M27" s="363">
        <f>SUMIF('Funding Activities'!$D:$D,A27,'Funding Activities'!$E:$E)</f>
        <v>0</v>
      </c>
      <c r="N27" s="365">
        <f>SUMIF('Funding Activities'!$D:$D,A27,'Funding Activities'!$F:$F)</f>
        <v>0</v>
      </c>
      <c r="O27" s="365">
        <f>SUMIF('Funding Activities'!$D:$D,A27,'Funding Activities'!$G:$G)</f>
        <v>0</v>
      </c>
      <c r="P27" s="365"/>
      <c r="Q27" s="365"/>
      <c r="R27" s="346">
        <f t="shared" si="7"/>
        <v>11884920</v>
      </c>
      <c r="S27" s="346">
        <f t="shared" si="8"/>
        <v>14168360</v>
      </c>
      <c r="T27" s="346">
        <f t="shared" si="9"/>
        <v>14771290</v>
      </c>
      <c r="U27" s="346"/>
      <c r="V27" s="355"/>
    </row>
    <row r="28" spans="1:22" ht="11.25" customHeight="1">
      <c r="A28" s="72" t="s">
        <v>29</v>
      </c>
      <c r="B28" s="15"/>
      <c r="C28" s="26">
        <v>3301250</v>
      </c>
      <c r="D28" s="27">
        <v>2071950</v>
      </c>
      <c r="E28" s="25">
        <v>2007920</v>
      </c>
      <c r="F28" s="26">
        <v>4244366</v>
      </c>
      <c r="G28" s="29">
        <v>8113000</v>
      </c>
      <c r="H28" s="25">
        <v>2098000</v>
      </c>
      <c r="I28" s="387">
        <v>2196610</v>
      </c>
      <c r="J28" s="21"/>
      <c r="K28" s="22"/>
      <c r="L28" s="289"/>
      <c r="M28" s="363">
        <f>-800000*9</f>
        <v>-7200000</v>
      </c>
      <c r="N28" s="365">
        <v>-8000000</v>
      </c>
      <c r="O28" s="365">
        <f>SUMIF('Funding Activities'!$D:$D,A28,'Funding Activities'!$G:$G)</f>
        <v>0</v>
      </c>
      <c r="P28" s="365"/>
      <c r="Q28" s="365"/>
      <c r="R28" s="346">
        <f t="shared" si="7"/>
        <v>913000</v>
      </c>
      <c r="S28" s="346">
        <f t="shared" si="8"/>
        <v>-5902000</v>
      </c>
      <c r="T28" s="346">
        <f t="shared" si="9"/>
        <v>2196610</v>
      </c>
      <c r="U28" s="346"/>
      <c r="V28" s="355"/>
    </row>
    <row r="29" spans="1:22" ht="11.25" customHeight="1">
      <c r="A29" s="72" t="s">
        <v>30</v>
      </c>
      <c r="B29" s="15">
        <v>2</v>
      </c>
      <c r="C29" s="23">
        <v>44276763</v>
      </c>
      <c r="D29" s="24">
        <v>58023710</v>
      </c>
      <c r="E29" s="16">
        <v>53616850</v>
      </c>
      <c r="F29" s="23">
        <v>50752318</v>
      </c>
      <c r="G29" s="18">
        <v>56045160</v>
      </c>
      <c r="H29" s="16">
        <v>60528770</v>
      </c>
      <c r="I29" s="386">
        <v>65371070</v>
      </c>
      <c r="J29" s="21"/>
      <c r="K29" s="22"/>
      <c r="L29" s="289"/>
      <c r="M29" s="363">
        <f>SUMIF('Funding Activities'!$D:$D,A29,'Funding Activities'!$E:$E)</f>
        <v>8000000</v>
      </c>
      <c r="N29" s="365">
        <f>SUMIF('Funding Activities'!$D:$D,A29,'Funding Activities'!$F:$F)</f>
        <v>0</v>
      </c>
      <c r="O29" s="365">
        <f>SUMIF('Funding Activities'!$D:$D,A29,'Funding Activities'!$G:$G)</f>
        <v>0</v>
      </c>
      <c r="P29" s="365"/>
      <c r="Q29" s="365"/>
      <c r="R29" s="346">
        <f t="shared" si="7"/>
        <v>64045160</v>
      </c>
      <c r="S29" s="346">
        <f t="shared" si="8"/>
        <v>60528770</v>
      </c>
      <c r="T29" s="346">
        <f t="shared" si="9"/>
        <v>65371070</v>
      </c>
      <c r="U29" s="346"/>
      <c r="V29" s="355"/>
    </row>
    <row r="30" spans="1:22" ht="11.25" customHeight="1">
      <c r="A30" s="72" t="s">
        <v>31</v>
      </c>
      <c r="B30" s="15">
        <v>8</v>
      </c>
      <c r="C30" s="36">
        <v>5536169</v>
      </c>
      <c r="D30" s="43">
        <v>5070590</v>
      </c>
      <c r="E30" s="33">
        <v>5454590</v>
      </c>
      <c r="F30" s="36">
        <v>3535827</v>
      </c>
      <c r="G30" s="45">
        <v>1100000</v>
      </c>
      <c r="H30" s="33">
        <v>9370550</v>
      </c>
      <c r="I30" s="418">
        <v>9810830</v>
      </c>
      <c r="J30" s="21"/>
      <c r="K30" s="22"/>
      <c r="L30" s="289"/>
      <c r="M30" s="363">
        <f>SUMIF('Funding Activities'!$D:$D,A30,'Funding Activities'!$E:$E)</f>
        <v>0</v>
      </c>
      <c r="N30" s="365">
        <f>SUMIF('Funding Activities'!$D:$D,A30,'Funding Activities'!$F:$F)</f>
        <v>0</v>
      </c>
      <c r="O30" s="365">
        <f>SUMIF('Funding Activities'!$D:$D,A30,'Funding Activities'!$G:$G)</f>
        <v>0</v>
      </c>
      <c r="P30" s="365"/>
      <c r="Q30" s="365"/>
      <c r="R30" s="346">
        <f t="shared" si="7"/>
        <v>1100000</v>
      </c>
      <c r="S30" s="346">
        <f t="shared" si="8"/>
        <v>9370550</v>
      </c>
      <c r="T30" s="346">
        <f t="shared" si="9"/>
        <v>9810830</v>
      </c>
      <c r="U30" s="346"/>
      <c r="V30" s="355"/>
    </row>
    <row r="31" spans="1:22" ht="11.25" customHeight="1">
      <c r="A31" s="72" t="s">
        <v>32</v>
      </c>
      <c r="B31" s="15"/>
      <c r="C31" s="23">
        <v>7884700</v>
      </c>
      <c r="D31" s="24">
        <v>13749030</v>
      </c>
      <c r="E31" s="16">
        <v>13271554</v>
      </c>
      <c r="F31" s="23">
        <v>13676795</v>
      </c>
      <c r="G31" s="18">
        <v>40017000</v>
      </c>
      <c r="H31" s="16">
        <v>15327930</v>
      </c>
      <c r="I31" s="386">
        <v>32016630</v>
      </c>
      <c r="J31" s="21"/>
      <c r="K31" s="22"/>
      <c r="L31" s="289"/>
      <c r="M31" s="363">
        <v>-2000000</v>
      </c>
      <c r="N31" s="365">
        <f>SUMIF('Funding Activities'!$D:$D,A31,'Funding Activities'!$F:$F)</f>
        <v>0</v>
      </c>
      <c r="O31" s="365">
        <f>SUMIF('Funding Activities'!$D:$D,A31,'Funding Activities'!$G:$G)</f>
        <v>0</v>
      </c>
      <c r="P31" s="365"/>
      <c r="Q31" s="365"/>
      <c r="R31" s="346">
        <f t="shared" si="7"/>
        <v>38017000</v>
      </c>
      <c r="S31" s="346">
        <f t="shared" si="8"/>
        <v>15327930</v>
      </c>
      <c r="T31" s="346">
        <f t="shared" si="9"/>
        <v>32016630</v>
      </c>
      <c r="U31" s="346"/>
      <c r="V31" s="355"/>
    </row>
    <row r="32" spans="1:22" ht="11.25" customHeight="1">
      <c r="A32" s="72" t="s">
        <v>20</v>
      </c>
      <c r="B32" s="15"/>
      <c r="C32" s="23">
        <v>245659</v>
      </c>
      <c r="D32" s="24">
        <v>450000</v>
      </c>
      <c r="E32" s="16">
        <v>450010</v>
      </c>
      <c r="F32" s="23">
        <v>240000</v>
      </c>
      <c r="G32" s="18">
        <v>400000</v>
      </c>
      <c r="H32" s="16">
        <v>965080</v>
      </c>
      <c r="I32" s="386">
        <v>1010440</v>
      </c>
      <c r="J32" s="21"/>
      <c r="K32" s="22"/>
      <c r="L32" s="289"/>
      <c r="M32" s="363">
        <f>SUMIF('Funding Activities'!$D:$D,A32,'Funding Activities'!$E:$E)</f>
        <v>0</v>
      </c>
      <c r="N32" s="365">
        <f>SUMIF('Funding Activities'!$D:$D,A32,'Funding Activities'!$F:$F)</f>
        <v>0</v>
      </c>
      <c r="O32" s="365">
        <f>SUMIF('Funding Activities'!$D:$D,A32,'Funding Activities'!$G:$G)</f>
        <v>0</v>
      </c>
      <c r="P32" s="365"/>
      <c r="Q32" s="365"/>
      <c r="R32" s="346">
        <f t="shared" si="7"/>
        <v>400000</v>
      </c>
      <c r="S32" s="346">
        <f t="shared" si="8"/>
        <v>965080</v>
      </c>
      <c r="T32" s="346">
        <f t="shared" si="9"/>
        <v>1010440</v>
      </c>
      <c r="U32" s="346"/>
      <c r="V32" s="355"/>
    </row>
    <row r="33" spans="1:22" ht="11.25" customHeight="1">
      <c r="A33" s="72" t="s">
        <v>4</v>
      </c>
      <c r="B33" s="15" t="s">
        <v>33</v>
      </c>
      <c r="C33" s="23">
        <f>18886537+669512</f>
        <v>19556049</v>
      </c>
      <c r="D33" s="24">
        <v>18939172</v>
      </c>
      <c r="E33" s="16">
        <v>22583022</v>
      </c>
      <c r="F33" s="23">
        <f>15368141+1205300</f>
        <v>16573441</v>
      </c>
      <c r="G33" s="18">
        <v>22913516</v>
      </c>
      <c r="H33" s="16">
        <v>25101990</v>
      </c>
      <c r="I33" s="386">
        <v>26253196</v>
      </c>
      <c r="J33" s="21"/>
      <c r="K33" s="22"/>
      <c r="L33" s="289"/>
      <c r="M33" s="363">
        <f>SUMIF('Funding Activities'!$D:$D,A33,'Funding Activities'!$E:$E)</f>
        <v>0</v>
      </c>
      <c r="N33" s="365">
        <f>SUMIF('Funding Activities'!$D:$D,A33,'Funding Activities'!$F:$F)</f>
        <v>0</v>
      </c>
      <c r="O33" s="365">
        <f>SUMIF('Funding Activities'!$D:$D,A33,'Funding Activities'!$G:$G)</f>
        <v>0</v>
      </c>
      <c r="P33" s="365"/>
      <c r="Q33" s="365"/>
      <c r="R33" s="346">
        <f t="shared" si="7"/>
        <v>22913516</v>
      </c>
      <c r="S33" s="346">
        <f t="shared" si="8"/>
        <v>25101990</v>
      </c>
      <c r="T33" s="346">
        <f t="shared" si="9"/>
        <v>26253196</v>
      </c>
      <c r="U33" s="346"/>
      <c r="V33" s="355"/>
    </row>
    <row r="34" spans="1:22" ht="11.25" customHeight="1" thickBot="1">
      <c r="A34" s="73" t="s">
        <v>34</v>
      </c>
      <c r="B34" s="390"/>
      <c r="C34" s="391">
        <v>49922</v>
      </c>
      <c r="D34" s="419">
        <v>0</v>
      </c>
      <c r="E34" s="420">
        <v>0</v>
      </c>
      <c r="F34" s="391">
        <v>4805834</v>
      </c>
      <c r="G34" s="421">
        <v>0</v>
      </c>
      <c r="H34" s="420">
        <v>0</v>
      </c>
      <c r="I34" s="422">
        <v>0</v>
      </c>
      <c r="J34" s="21"/>
      <c r="K34" s="22"/>
      <c r="L34" s="289"/>
      <c r="M34" s="364">
        <f>SUMIF('Funding Activities'!$D:$D,A34,'Funding Activities'!$E:$E)</f>
        <v>0</v>
      </c>
      <c r="N34" s="367">
        <f>SUMIF('Funding Activities'!$D:$D,A34,'Funding Activities'!$F:$F)</f>
        <v>0</v>
      </c>
      <c r="O34" s="367">
        <f>SUMIF('Funding Activities'!$D:$D,A34,'Funding Activities'!$G:$G)</f>
        <v>0</v>
      </c>
      <c r="P34" s="367"/>
      <c r="Q34" s="367"/>
      <c r="R34" s="357">
        <f t="shared" si="7"/>
        <v>0</v>
      </c>
      <c r="S34" s="357">
        <f t="shared" si="8"/>
        <v>0</v>
      </c>
      <c r="T34" s="357">
        <f t="shared" si="9"/>
        <v>0</v>
      </c>
      <c r="U34" s="357"/>
      <c r="V34" s="358"/>
    </row>
    <row r="35" spans="1:22" ht="11.25" customHeight="1">
      <c r="A35" s="405" t="s">
        <v>35</v>
      </c>
      <c r="B35" s="406"/>
      <c r="C35" s="407">
        <f>SUM(C24:C34)</f>
        <v>184097882</v>
      </c>
      <c r="D35" s="408">
        <f t="shared" ref="D35:I35" si="10">SUM(D24:D34)</f>
        <v>218715806</v>
      </c>
      <c r="E35" s="409">
        <f t="shared" si="10"/>
        <v>218473928</v>
      </c>
      <c r="F35" s="407">
        <f t="shared" si="10"/>
        <v>211494664</v>
      </c>
      <c r="G35" s="410">
        <f t="shared" si="10"/>
        <v>253881730</v>
      </c>
      <c r="H35" s="409">
        <f t="shared" si="10"/>
        <v>228200603</v>
      </c>
      <c r="I35" s="407">
        <f t="shared" si="10"/>
        <v>254493483</v>
      </c>
      <c r="J35" s="46">
        <v>0</v>
      </c>
      <c r="K35" s="47">
        <v>0</v>
      </c>
      <c r="L35" s="47"/>
      <c r="M35" s="424">
        <f t="shared" ref="M35:V35" si="11">SUM(M24:M34)</f>
        <v>-1900000</v>
      </c>
      <c r="N35" s="424">
        <f t="shared" si="11"/>
        <v>-8000000</v>
      </c>
      <c r="O35" s="424">
        <f t="shared" si="11"/>
        <v>0</v>
      </c>
      <c r="P35" s="424">
        <f t="shared" si="11"/>
        <v>0</v>
      </c>
      <c r="Q35" s="424">
        <f t="shared" si="11"/>
        <v>0</v>
      </c>
      <c r="R35" s="424">
        <f t="shared" si="11"/>
        <v>251981730</v>
      </c>
      <c r="S35" s="424">
        <f t="shared" si="11"/>
        <v>220200603</v>
      </c>
      <c r="T35" s="424">
        <f t="shared" si="11"/>
        <v>254493483</v>
      </c>
      <c r="U35" s="424">
        <f t="shared" si="11"/>
        <v>0</v>
      </c>
      <c r="V35" s="424">
        <f t="shared" si="11"/>
        <v>0</v>
      </c>
    </row>
    <row r="36" spans="1:22" ht="5.0999999999999996" customHeight="1">
      <c r="A36" s="41"/>
      <c r="B36" s="15"/>
      <c r="C36" s="49"/>
      <c r="D36" s="50"/>
      <c r="E36" s="48"/>
      <c r="F36" s="49"/>
      <c r="G36" s="51"/>
      <c r="H36" s="48"/>
      <c r="I36" s="49"/>
      <c r="J36" s="52"/>
      <c r="K36" s="53"/>
      <c r="L36" s="53"/>
      <c r="M36" s="53"/>
      <c r="N36" s="53"/>
      <c r="O36" s="53"/>
      <c r="P36" s="53"/>
      <c r="Q36" s="53"/>
      <c r="R36" s="53"/>
      <c r="S36" s="53"/>
      <c r="T36" s="53"/>
      <c r="U36" s="53"/>
      <c r="V36" s="53"/>
    </row>
    <row r="37" spans="1:22" ht="12" customHeight="1" thickBot="1">
      <c r="A37" s="182" t="s">
        <v>36</v>
      </c>
      <c r="B37" s="183"/>
      <c r="C37" s="184">
        <f>C21-C35</f>
        <v>-7258891.7900000215</v>
      </c>
      <c r="D37" s="184">
        <f t="shared" ref="D37:I37" si="12">D21-D35</f>
        <v>-25934558</v>
      </c>
      <c r="E37" s="184">
        <f t="shared" si="12"/>
        <v>-25453726</v>
      </c>
      <c r="F37" s="184">
        <f t="shared" si="12"/>
        <v>-14006186</v>
      </c>
      <c r="G37" s="184">
        <f t="shared" si="12"/>
        <v>-20125057</v>
      </c>
      <c r="H37" s="184">
        <f t="shared" si="12"/>
        <v>-8283636</v>
      </c>
      <c r="I37" s="184">
        <f t="shared" si="12"/>
        <v>4786281</v>
      </c>
      <c r="J37" s="52">
        <v>0</v>
      </c>
      <c r="K37" s="53">
        <v>0</v>
      </c>
      <c r="L37" s="53"/>
      <c r="M37" s="65">
        <f t="shared" ref="M37:V37" si="13">M21-M35</f>
        <v>7200000</v>
      </c>
      <c r="N37" s="65">
        <f t="shared" si="13"/>
        <v>8250000</v>
      </c>
      <c r="O37" s="65">
        <f t="shared" si="13"/>
        <v>0</v>
      </c>
      <c r="P37" s="65">
        <f t="shared" si="13"/>
        <v>0</v>
      </c>
      <c r="Q37" s="65">
        <f t="shared" si="13"/>
        <v>0</v>
      </c>
      <c r="R37" s="65">
        <f t="shared" si="13"/>
        <v>-12925056.99999997</v>
      </c>
      <c r="S37" s="65">
        <f t="shared" si="13"/>
        <v>-33636</v>
      </c>
      <c r="T37" s="65">
        <f t="shared" si="13"/>
        <v>4786281</v>
      </c>
      <c r="U37" s="65">
        <f t="shared" si="13"/>
        <v>0</v>
      </c>
      <c r="V37" s="65">
        <f t="shared" si="13"/>
        <v>0</v>
      </c>
    </row>
    <row r="38" spans="1:22" ht="10.8" thickTop="1"/>
    <row r="39" spans="1:22">
      <c r="C39" s="287"/>
      <c r="G39" s="594">
        <f>G24/G21</f>
        <v>0.39721476100919695</v>
      </c>
    </row>
    <row r="40" spans="1:22" ht="15.6">
      <c r="A40" s="744"/>
      <c r="R40" s="594">
        <f>R24/R21</f>
        <v>0.3854801451202326</v>
      </c>
    </row>
  </sheetData>
  <mergeCells count="2">
    <mergeCell ref="M2:Q2"/>
    <mergeCell ref="R2:V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4381-6462-45CA-8D71-8701EF0017B3}">
  <dimension ref="A1:O82"/>
  <sheetViews>
    <sheetView workbookViewId="0">
      <selection activeCell="A10" sqref="A10"/>
    </sheetView>
  </sheetViews>
  <sheetFormatPr defaultColWidth="9.109375" defaultRowHeight="14.4" outlineLevelRow="1"/>
  <cols>
    <col min="1" max="1" width="44.6640625" customWidth="1"/>
    <col min="2" max="13" width="12.5546875" customWidth="1"/>
    <col min="15" max="15" width="12.33203125" bestFit="1" customWidth="1"/>
  </cols>
  <sheetData>
    <row r="1" spans="1:15">
      <c r="A1" s="1110" t="s">
        <v>602</v>
      </c>
      <c r="B1" s="1111"/>
      <c r="C1" s="1111"/>
      <c r="D1" s="1111"/>
      <c r="E1" s="1111"/>
      <c r="F1" s="1111"/>
      <c r="G1" s="1111"/>
      <c r="H1" s="1111"/>
      <c r="I1" s="1111"/>
      <c r="J1" s="1111"/>
      <c r="K1" s="1111"/>
      <c r="L1" s="1111"/>
      <c r="M1" s="1112"/>
    </row>
    <row r="2" spans="1:15">
      <c r="A2" s="745"/>
      <c r="B2" s="746">
        <v>1</v>
      </c>
      <c r="C2" s="746">
        <v>2</v>
      </c>
      <c r="D2" s="746">
        <v>3</v>
      </c>
      <c r="E2" s="746">
        <v>4</v>
      </c>
      <c r="F2" s="746">
        <v>5</v>
      </c>
      <c r="G2" s="746">
        <v>6</v>
      </c>
      <c r="H2" s="746">
        <v>7</v>
      </c>
      <c r="I2" s="746">
        <v>8</v>
      </c>
      <c r="J2" s="746">
        <v>9</v>
      </c>
      <c r="K2" s="746">
        <v>10</v>
      </c>
      <c r="L2" s="746">
        <v>11</v>
      </c>
      <c r="M2" s="747">
        <v>12</v>
      </c>
    </row>
    <row r="3" spans="1:15">
      <c r="A3" s="745"/>
      <c r="B3" s="748">
        <v>45108</v>
      </c>
      <c r="C3" s="748">
        <v>45139</v>
      </c>
      <c r="D3" s="748">
        <v>45170</v>
      </c>
      <c r="E3" s="748">
        <v>45200</v>
      </c>
      <c r="F3" s="748">
        <v>45231</v>
      </c>
      <c r="G3" s="748">
        <v>45261</v>
      </c>
      <c r="H3" s="748">
        <v>45292</v>
      </c>
      <c r="I3" s="748">
        <v>45323</v>
      </c>
      <c r="J3" s="748">
        <v>45352</v>
      </c>
      <c r="K3" s="748">
        <v>45383</v>
      </c>
      <c r="L3" s="748">
        <v>45413</v>
      </c>
      <c r="M3" s="748">
        <v>45444</v>
      </c>
    </row>
    <row r="4" spans="1:15">
      <c r="A4" s="1113" t="s">
        <v>479</v>
      </c>
      <c r="B4" s="749" t="s">
        <v>195</v>
      </c>
      <c r="C4" s="749" t="s">
        <v>195</v>
      </c>
      <c r="D4" s="749" t="s">
        <v>195</v>
      </c>
      <c r="E4" s="749" t="s">
        <v>195</v>
      </c>
      <c r="F4" s="749" t="s">
        <v>480</v>
      </c>
      <c r="G4" s="749" t="s">
        <v>480</v>
      </c>
      <c r="H4" s="749" t="s">
        <v>480</v>
      </c>
      <c r="I4" s="749" t="s">
        <v>480</v>
      </c>
      <c r="J4" s="749" t="s">
        <v>480</v>
      </c>
      <c r="K4" s="749" t="s">
        <v>480</v>
      </c>
      <c r="L4" s="749" t="s">
        <v>480</v>
      </c>
      <c r="M4" s="750" t="s">
        <v>480</v>
      </c>
    </row>
    <row r="5" spans="1:15">
      <c r="A5" s="1113"/>
      <c r="B5" s="751" t="s">
        <v>481</v>
      </c>
      <c r="C5" s="751" t="s">
        <v>481</v>
      </c>
      <c r="D5" s="751" t="s">
        <v>481</v>
      </c>
      <c r="E5" s="751" t="s">
        <v>481</v>
      </c>
      <c r="F5" s="751" t="s">
        <v>481</v>
      </c>
      <c r="G5" s="751" t="s">
        <v>481</v>
      </c>
      <c r="H5" s="751" t="s">
        <v>481</v>
      </c>
      <c r="I5" s="751" t="s">
        <v>481</v>
      </c>
      <c r="J5" s="751" t="s">
        <v>481</v>
      </c>
      <c r="K5" s="751" t="s">
        <v>481</v>
      </c>
      <c r="L5" s="751" t="s">
        <v>481</v>
      </c>
      <c r="M5" s="752" t="s">
        <v>481</v>
      </c>
    </row>
    <row r="6" spans="1:15">
      <c r="A6" s="753" t="s">
        <v>482</v>
      </c>
      <c r="B6" s="754"/>
      <c r="C6" s="754"/>
      <c r="D6" s="754"/>
      <c r="E6" s="755"/>
      <c r="F6" s="754"/>
      <c r="G6" s="754"/>
      <c r="H6" s="754"/>
      <c r="I6" s="754"/>
      <c r="J6" s="754"/>
      <c r="K6" s="754"/>
      <c r="L6" s="754"/>
      <c r="M6" s="756"/>
    </row>
    <row r="7" spans="1:15">
      <c r="A7" s="757" t="s">
        <v>0</v>
      </c>
      <c r="B7" s="758"/>
      <c r="C7" s="758"/>
      <c r="D7" s="758"/>
      <c r="E7" s="758"/>
      <c r="F7" s="758"/>
      <c r="G7" s="758"/>
      <c r="H7" s="758"/>
      <c r="I7" s="758"/>
      <c r="J7" s="758"/>
      <c r="K7" s="758"/>
      <c r="L7" s="758"/>
      <c r="M7" s="759"/>
    </row>
    <row r="8" spans="1:15">
      <c r="A8" s="760" t="s">
        <v>7</v>
      </c>
      <c r="B8" s="754"/>
      <c r="C8" s="754"/>
      <c r="D8" s="754"/>
      <c r="E8" s="754"/>
      <c r="F8" s="754"/>
      <c r="G8" s="754"/>
      <c r="H8" s="754"/>
      <c r="I8" s="754"/>
      <c r="J8" s="754"/>
      <c r="K8" s="754"/>
      <c r="L8" s="754"/>
      <c r="M8" s="756"/>
      <c r="O8" s="761"/>
    </row>
    <row r="9" spans="1:15" ht="15" thickBot="1">
      <c r="A9" s="762" t="s">
        <v>60</v>
      </c>
      <c r="B9" s="763">
        <f>SUM(B10:B15)</f>
        <v>0</v>
      </c>
      <c r="C9" s="763">
        <f t="shared" ref="C9:M9" si="0">SUM(C10:C15)</f>
        <v>0</v>
      </c>
      <c r="D9" s="763">
        <f t="shared" si="0"/>
        <v>0</v>
      </c>
      <c r="E9" s="763">
        <f t="shared" si="0"/>
        <v>0</v>
      </c>
      <c r="F9" s="763">
        <f t="shared" si="0"/>
        <v>0</v>
      </c>
      <c r="G9" s="763">
        <f t="shared" si="0"/>
        <v>0</v>
      </c>
      <c r="H9" s="763">
        <f t="shared" si="0"/>
        <v>0</v>
      </c>
      <c r="I9" s="763">
        <f t="shared" si="0"/>
        <v>0</v>
      </c>
      <c r="J9" s="763">
        <f t="shared" si="0"/>
        <v>0</v>
      </c>
      <c r="K9" s="763">
        <f t="shared" si="0"/>
        <v>0</v>
      </c>
      <c r="L9" s="763">
        <f t="shared" si="0"/>
        <v>0</v>
      </c>
      <c r="M9" s="764">
        <f t="shared" si="0"/>
        <v>0</v>
      </c>
    </row>
    <row r="10" spans="1:15" outlineLevel="1">
      <c r="A10" s="765" t="s">
        <v>354</v>
      </c>
      <c r="B10" s="766"/>
      <c r="C10" s="766"/>
      <c r="D10" s="766"/>
      <c r="E10" s="766"/>
      <c r="F10" s="766"/>
      <c r="G10" s="766"/>
      <c r="H10" s="766"/>
      <c r="I10" s="766"/>
      <c r="J10" s="766"/>
      <c r="K10" s="766"/>
      <c r="L10" s="766"/>
      <c r="M10" s="767"/>
    </row>
    <row r="11" spans="1:15" outlineLevel="1">
      <c r="A11" s="768" t="s">
        <v>483</v>
      </c>
      <c r="B11" s="769"/>
      <c r="C11" s="769"/>
      <c r="D11" s="769"/>
      <c r="E11" s="769"/>
      <c r="F11" s="769"/>
      <c r="G11" s="769"/>
      <c r="H11" s="769"/>
      <c r="I11" s="769"/>
      <c r="J11" s="769"/>
      <c r="K11" s="769"/>
      <c r="L11" s="769"/>
      <c r="M11" s="770"/>
      <c r="O11" s="761" t="s">
        <v>87</v>
      </c>
    </row>
    <row r="12" spans="1:15" outlineLevel="1">
      <c r="A12" s="768" t="s">
        <v>484</v>
      </c>
      <c r="B12" s="769"/>
      <c r="C12" s="769"/>
      <c r="D12" s="769"/>
      <c r="E12" s="769"/>
      <c r="F12" s="769"/>
      <c r="G12" s="769"/>
      <c r="H12" s="769"/>
      <c r="I12" s="769"/>
      <c r="J12" s="769"/>
      <c r="K12" s="769"/>
      <c r="L12" s="769"/>
      <c r="M12" s="770"/>
      <c r="O12" s="761" t="s">
        <v>87</v>
      </c>
    </row>
    <row r="13" spans="1:15" outlineLevel="1">
      <c r="A13" s="768" t="s">
        <v>485</v>
      </c>
      <c r="B13" s="769"/>
      <c r="C13" s="769"/>
      <c r="D13" s="769"/>
      <c r="E13" s="769"/>
      <c r="F13" s="769"/>
      <c r="G13" s="769"/>
      <c r="H13" s="769"/>
      <c r="I13" s="769"/>
      <c r="J13" s="769"/>
      <c r="K13" s="769"/>
      <c r="L13" s="769"/>
      <c r="M13" s="770"/>
      <c r="O13" s="761" t="s">
        <v>87</v>
      </c>
    </row>
    <row r="14" spans="1:15" outlineLevel="1">
      <c r="A14" s="768" t="s">
        <v>486</v>
      </c>
      <c r="B14" s="769"/>
      <c r="C14" s="769"/>
      <c r="D14" s="769"/>
      <c r="E14" s="769"/>
      <c r="F14" s="769"/>
      <c r="G14" s="769"/>
      <c r="H14" s="769"/>
      <c r="I14" s="769"/>
      <c r="J14" s="769"/>
      <c r="K14" s="769"/>
      <c r="L14" s="769"/>
      <c r="M14" s="770"/>
      <c r="O14" s="761" t="s">
        <v>87</v>
      </c>
    </row>
    <row r="15" spans="1:15" ht="15" outlineLevel="1" thickBot="1">
      <c r="A15" s="771" t="s">
        <v>487</v>
      </c>
      <c r="B15" s="772"/>
      <c r="C15" s="772"/>
      <c r="D15" s="772"/>
      <c r="E15" s="772"/>
      <c r="F15" s="772"/>
      <c r="G15" s="772"/>
      <c r="H15" s="772"/>
      <c r="I15" s="772"/>
      <c r="J15" s="772"/>
      <c r="K15" s="772"/>
      <c r="L15" s="772"/>
      <c r="M15" s="773"/>
      <c r="O15" s="761" t="s">
        <v>87</v>
      </c>
    </row>
    <row r="16" spans="1:15">
      <c r="A16" s="774" t="s">
        <v>488</v>
      </c>
      <c r="B16" s="775"/>
      <c r="C16" s="775"/>
      <c r="D16" s="775"/>
      <c r="E16" s="775"/>
      <c r="F16" s="775"/>
      <c r="G16" s="775"/>
      <c r="H16" s="775"/>
      <c r="I16" s="775"/>
      <c r="J16" s="775"/>
      <c r="K16" s="775"/>
      <c r="L16" s="775"/>
      <c r="M16" s="776"/>
    </row>
    <row r="17" spans="1:15">
      <c r="A17" s="760" t="s">
        <v>489</v>
      </c>
      <c r="B17" s="777"/>
      <c r="C17" s="777"/>
      <c r="D17" s="777"/>
      <c r="E17" s="777"/>
      <c r="F17" s="777"/>
      <c r="G17" s="777"/>
      <c r="H17" s="777"/>
      <c r="I17" s="777"/>
      <c r="J17" s="777"/>
      <c r="K17" s="777"/>
      <c r="L17" s="777"/>
      <c r="M17" s="778"/>
      <c r="O17" s="761"/>
    </row>
    <row r="18" spans="1:15">
      <c r="A18" s="760" t="s">
        <v>14</v>
      </c>
      <c r="B18" s="754"/>
      <c r="C18" s="754"/>
      <c r="D18" s="754"/>
      <c r="E18" s="754"/>
      <c r="F18" s="754"/>
      <c r="G18" s="754"/>
      <c r="H18" s="754"/>
      <c r="I18" s="754"/>
      <c r="J18" s="754"/>
      <c r="K18" s="754"/>
      <c r="L18" s="754"/>
      <c r="M18" s="756"/>
      <c r="O18" s="761"/>
    </row>
    <row r="19" spans="1:15">
      <c r="A19" s="760" t="s">
        <v>490</v>
      </c>
      <c r="B19" s="754"/>
      <c r="C19" s="754"/>
      <c r="D19" s="754"/>
      <c r="E19" s="754"/>
      <c r="F19" s="754"/>
      <c r="G19" s="754"/>
      <c r="H19" s="754"/>
      <c r="I19" s="754"/>
      <c r="J19" s="754"/>
      <c r="K19" s="754"/>
      <c r="L19" s="754"/>
      <c r="M19" s="756"/>
      <c r="O19" s="761"/>
    </row>
    <row r="20" spans="1:15">
      <c r="A20" s="760" t="s">
        <v>491</v>
      </c>
      <c r="B20" s="754"/>
      <c r="C20" s="754"/>
      <c r="D20" s="754"/>
      <c r="E20" s="754"/>
      <c r="F20" s="754"/>
      <c r="G20" s="754"/>
      <c r="H20" s="754"/>
      <c r="I20" s="754"/>
      <c r="J20" s="754"/>
      <c r="K20" s="754"/>
      <c r="L20" s="754"/>
      <c r="M20" s="756"/>
      <c r="O20" s="761"/>
    </row>
    <row r="21" spans="1:15">
      <c r="A21" s="760" t="s">
        <v>18</v>
      </c>
      <c r="B21" s="754"/>
      <c r="C21" s="754"/>
      <c r="D21" s="754"/>
      <c r="E21" s="754"/>
      <c r="F21" s="754"/>
      <c r="G21" s="754"/>
      <c r="H21" s="754"/>
      <c r="I21" s="754"/>
      <c r="J21" s="754"/>
      <c r="K21" s="754"/>
      <c r="L21" s="754"/>
      <c r="M21" s="756"/>
      <c r="O21" s="761"/>
    </row>
    <row r="22" spans="1:15">
      <c r="A22" s="760" t="s">
        <v>492</v>
      </c>
      <c r="B22" s="779"/>
      <c r="C22" s="779"/>
      <c r="D22" s="779"/>
      <c r="E22" s="779"/>
      <c r="F22" s="779"/>
      <c r="G22" s="779"/>
      <c r="H22" s="779"/>
      <c r="I22" s="779"/>
      <c r="J22" s="779"/>
      <c r="K22" s="779"/>
      <c r="L22" s="779"/>
      <c r="M22" s="779"/>
      <c r="O22" s="761"/>
    </row>
    <row r="23" spans="1:15">
      <c r="A23" s="760" t="s">
        <v>20</v>
      </c>
      <c r="B23" s="780">
        <f>'[7]Grant Funding'!$D$34</f>
        <v>0</v>
      </c>
      <c r="C23" s="780">
        <f>'[7]Grant Funding'!$D$34</f>
        <v>0</v>
      </c>
      <c r="D23" s="780">
        <f>'[7]Grant Funding'!$D$34</f>
        <v>0</v>
      </c>
      <c r="E23" s="780">
        <f>'[7]Grant Funding'!$D$34</f>
        <v>0</v>
      </c>
      <c r="F23" s="780">
        <f>'[7]Grant Funding'!$D$34</f>
        <v>0</v>
      </c>
      <c r="G23" s="780">
        <f>'[7]Grant Funding'!$D$34</f>
        <v>0</v>
      </c>
      <c r="H23" s="780">
        <f>'[7]Grant Funding'!$D$34</f>
        <v>0</v>
      </c>
      <c r="I23" s="780">
        <f>'[7]Grant Funding'!$D$34</f>
        <v>0</v>
      </c>
      <c r="J23" s="780">
        <f>'[7]Grant Funding'!$D$34</f>
        <v>0</v>
      </c>
      <c r="K23" s="780">
        <f>'[7]Grant Funding'!$D$34</f>
        <v>0</v>
      </c>
      <c r="L23" s="780">
        <f>'[7]Grant Funding'!$D$34</f>
        <v>0</v>
      </c>
      <c r="M23" s="781">
        <f>'[7]Grant Funding'!$D$34</f>
        <v>0</v>
      </c>
      <c r="O23" s="761"/>
    </row>
    <row r="24" spans="1:15">
      <c r="A24" s="760" t="s">
        <v>21</v>
      </c>
      <c r="B24" s="779"/>
      <c r="C24" s="779"/>
      <c r="D24" s="779"/>
      <c r="E24" s="779"/>
      <c r="F24" s="779"/>
      <c r="G24" s="779"/>
      <c r="H24" s="779"/>
      <c r="I24" s="779"/>
      <c r="J24" s="779"/>
      <c r="K24" s="779"/>
      <c r="L24" s="779"/>
      <c r="M24" s="782"/>
      <c r="O24" s="761"/>
    </row>
    <row r="25" spans="1:15">
      <c r="A25" s="760" t="s">
        <v>493</v>
      </c>
      <c r="B25" s="779"/>
      <c r="C25" s="779"/>
      <c r="D25" s="779"/>
      <c r="E25" s="779"/>
      <c r="F25" s="779"/>
      <c r="G25" s="779"/>
      <c r="H25" s="779"/>
      <c r="I25" s="779"/>
      <c r="J25" s="779"/>
      <c r="K25" s="779"/>
      <c r="L25" s="779"/>
      <c r="M25" s="782"/>
      <c r="O25" s="761"/>
    </row>
    <row r="26" spans="1:15">
      <c r="A26" s="760" t="s">
        <v>494</v>
      </c>
      <c r="B26" s="779"/>
      <c r="C26" s="779"/>
      <c r="D26" s="779"/>
      <c r="E26" s="779"/>
      <c r="F26" s="779"/>
      <c r="G26" s="779"/>
      <c r="H26" s="779"/>
      <c r="I26" s="779"/>
      <c r="J26" s="779"/>
      <c r="K26" s="779"/>
      <c r="L26" s="779"/>
      <c r="M26" s="782"/>
      <c r="O26" s="761"/>
    </row>
    <row r="27" spans="1:15">
      <c r="A27" s="760" t="s">
        <v>22</v>
      </c>
      <c r="B27" s="779"/>
      <c r="C27" s="779"/>
      <c r="D27" s="779"/>
      <c r="E27" s="779"/>
      <c r="F27" s="779"/>
      <c r="G27" s="779"/>
      <c r="H27" s="779"/>
      <c r="I27" s="779"/>
      <c r="J27" s="779"/>
      <c r="K27" s="779"/>
      <c r="L27" s="779"/>
      <c r="M27" s="782"/>
      <c r="O27" s="761"/>
    </row>
    <row r="28" spans="1:15">
      <c r="A28" s="783" t="s">
        <v>495</v>
      </c>
      <c r="B28" s="784">
        <f>SUM(B16:B27)+B9+B8</f>
        <v>0</v>
      </c>
      <c r="C28" s="784">
        <f t="shared" ref="C28:M28" si="1">SUM(C16:C27)+C9+C8</f>
        <v>0</v>
      </c>
      <c r="D28" s="784">
        <f t="shared" si="1"/>
        <v>0</v>
      </c>
      <c r="E28" s="784">
        <f t="shared" si="1"/>
        <v>0</v>
      </c>
      <c r="F28" s="784">
        <f t="shared" si="1"/>
        <v>0</v>
      </c>
      <c r="G28" s="784">
        <f t="shared" si="1"/>
        <v>0</v>
      </c>
      <c r="H28" s="784">
        <f t="shared" si="1"/>
        <v>0</v>
      </c>
      <c r="I28" s="784">
        <f t="shared" si="1"/>
        <v>0</v>
      </c>
      <c r="J28" s="784">
        <f t="shared" si="1"/>
        <v>0</v>
      </c>
      <c r="K28" s="784">
        <f t="shared" si="1"/>
        <v>0</v>
      </c>
      <c r="L28" s="784">
        <f t="shared" si="1"/>
        <v>0</v>
      </c>
      <c r="M28" s="785">
        <f t="shared" si="1"/>
        <v>0</v>
      </c>
      <c r="O28" s="761"/>
    </row>
    <row r="29" spans="1:15" ht="15" thickBot="1">
      <c r="A29" s="786" t="s">
        <v>496</v>
      </c>
      <c r="B29" s="787">
        <f>SUM(B30:B49)</f>
        <v>0</v>
      </c>
      <c r="C29" s="787">
        <f t="shared" ref="C29:M29" si="2">SUM(C30:C49)</f>
        <v>0</v>
      </c>
      <c r="D29" s="787">
        <f t="shared" si="2"/>
        <v>0</v>
      </c>
      <c r="E29" s="787">
        <f t="shared" si="2"/>
        <v>0</v>
      </c>
      <c r="F29" s="787">
        <f t="shared" si="2"/>
        <v>0</v>
      </c>
      <c r="G29" s="787">
        <f t="shared" si="2"/>
        <v>0</v>
      </c>
      <c r="H29" s="787">
        <f t="shared" si="2"/>
        <v>0</v>
      </c>
      <c r="I29" s="787">
        <f t="shared" si="2"/>
        <v>0</v>
      </c>
      <c r="J29" s="787">
        <f t="shared" si="2"/>
        <v>0</v>
      </c>
      <c r="K29" s="787">
        <f t="shared" si="2"/>
        <v>0</v>
      </c>
      <c r="L29" s="787">
        <f t="shared" si="2"/>
        <v>0</v>
      </c>
      <c r="M29" s="788">
        <f t="shared" si="2"/>
        <v>0</v>
      </c>
      <c r="O29" s="789"/>
    </row>
    <row r="30" spans="1:15" outlineLevel="1">
      <c r="A30" s="790" t="s">
        <v>497</v>
      </c>
      <c r="B30" s="766"/>
      <c r="C30" s="766"/>
      <c r="D30" s="766"/>
      <c r="E30" s="766"/>
      <c r="F30" s="766"/>
      <c r="G30" s="766"/>
      <c r="H30" s="766"/>
      <c r="I30" s="766"/>
      <c r="J30" s="766"/>
      <c r="K30" s="766"/>
      <c r="L30" s="766"/>
      <c r="M30" s="767"/>
      <c r="O30" s="791"/>
    </row>
    <row r="31" spans="1:15" outlineLevel="1">
      <c r="A31" s="792" t="s">
        <v>498</v>
      </c>
      <c r="B31" s="793"/>
      <c r="C31" s="793"/>
      <c r="D31" s="793"/>
      <c r="E31" s="793"/>
      <c r="F31" s="793"/>
      <c r="G31" s="793"/>
      <c r="H31" s="793"/>
      <c r="I31" s="793"/>
      <c r="J31" s="793"/>
      <c r="K31" s="793"/>
      <c r="L31" s="793"/>
      <c r="M31" s="794"/>
      <c r="O31" s="791"/>
    </row>
    <row r="32" spans="1:15" outlineLevel="1">
      <c r="A32" s="792" t="s">
        <v>499</v>
      </c>
      <c r="B32" s="793"/>
      <c r="C32" s="793"/>
      <c r="D32" s="793"/>
      <c r="E32" s="793"/>
      <c r="F32" s="793"/>
      <c r="G32" s="793"/>
      <c r="H32" s="793"/>
      <c r="I32" s="793"/>
      <c r="J32" s="793"/>
      <c r="K32" s="793"/>
      <c r="L32" s="793"/>
      <c r="M32" s="794"/>
      <c r="O32" s="791"/>
    </row>
    <row r="33" spans="1:15" outlineLevel="1">
      <c r="A33" s="795" t="s">
        <v>500</v>
      </c>
      <c r="B33" s="769"/>
      <c r="C33" s="769"/>
      <c r="D33" s="769"/>
      <c r="E33" s="769"/>
      <c r="F33" s="769"/>
      <c r="G33" s="769"/>
      <c r="H33" s="769"/>
      <c r="I33" s="769"/>
      <c r="J33" s="769"/>
      <c r="K33" s="769"/>
      <c r="L33" s="769"/>
      <c r="M33" s="770"/>
      <c r="O33" t="s">
        <v>87</v>
      </c>
    </row>
    <row r="34" spans="1:15" outlineLevel="1">
      <c r="A34" s="795" t="s">
        <v>501</v>
      </c>
      <c r="B34" s="769"/>
      <c r="C34" s="769"/>
      <c r="D34" s="769"/>
      <c r="E34" s="769"/>
      <c r="F34" s="769"/>
      <c r="G34" s="769"/>
      <c r="H34" s="769"/>
      <c r="I34" s="769"/>
      <c r="J34" s="769"/>
      <c r="K34" s="769"/>
      <c r="L34" s="769"/>
      <c r="M34" s="770"/>
      <c r="O34" t="s">
        <v>87</v>
      </c>
    </row>
    <row r="35" spans="1:15" outlineLevel="1">
      <c r="A35" s="792" t="s">
        <v>502</v>
      </c>
      <c r="B35" s="793"/>
      <c r="C35" s="793"/>
      <c r="D35" s="793"/>
      <c r="E35" s="793"/>
      <c r="F35" s="793"/>
      <c r="G35" s="793"/>
      <c r="H35" s="793"/>
      <c r="I35" s="793"/>
      <c r="J35" s="793"/>
      <c r="K35" s="793"/>
      <c r="L35" s="793"/>
      <c r="M35" s="794"/>
      <c r="O35" s="791"/>
    </row>
    <row r="36" spans="1:15" outlineLevel="1">
      <c r="A36" s="792" t="s">
        <v>503</v>
      </c>
      <c r="B36" s="793"/>
      <c r="C36" s="793"/>
      <c r="D36" s="793"/>
      <c r="E36" s="793"/>
      <c r="F36" s="793"/>
      <c r="G36" s="793"/>
      <c r="H36" s="793"/>
      <c r="I36" s="793"/>
      <c r="J36" s="793"/>
      <c r="K36" s="793"/>
      <c r="L36" s="793"/>
      <c r="M36" s="794"/>
      <c r="O36" s="791"/>
    </row>
    <row r="37" spans="1:15" ht="16.95" customHeight="1" outlineLevel="1">
      <c r="A37" s="795"/>
      <c r="B37" s="769"/>
      <c r="C37" s="769"/>
      <c r="D37" s="769"/>
      <c r="E37" s="769"/>
      <c r="F37" s="769"/>
      <c r="G37" s="769"/>
      <c r="H37" s="769"/>
      <c r="I37" s="769"/>
      <c r="J37" s="769"/>
      <c r="K37" s="769"/>
      <c r="L37" s="769"/>
      <c r="M37" s="770"/>
      <c r="O37" t="s">
        <v>87</v>
      </c>
    </row>
    <row r="38" spans="1:15" outlineLevel="1">
      <c r="A38" s="795" t="s">
        <v>504</v>
      </c>
      <c r="B38" s="769"/>
      <c r="C38" s="769"/>
      <c r="D38" s="769"/>
      <c r="E38" s="769"/>
      <c r="F38" s="769"/>
      <c r="G38" s="769"/>
      <c r="H38" s="769"/>
      <c r="I38" s="769"/>
      <c r="J38" s="769"/>
      <c r="K38" s="769"/>
      <c r="L38" s="769"/>
      <c r="M38" s="770"/>
      <c r="O38" t="s">
        <v>87</v>
      </c>
    </row>
    <row r="39" spans="1:15" outlineLevel="1">
      <c r="A39" s="792" t="s">
        <v>505</v>
      </c>
      <c r="B39" s="793"/>
      <c r="C39" s="793"/>
      <c r="D39" s="793"/>
      <c r="E39" s="793"/>
      <c r="F39" s="793"/>
      <c r="G39" s="793"/>
      <c r="H39" s="793"/>
      <c r="I39" s="793"/>
      <c r="J39" s="793"/>
      <c r="K39" s="793"/>
      <c r="L39" s="793"/>
      <c r="M39" s="794"/>
      <c r="O39" s="791"/>
    </row>
    <row r="40" spans="1:15" ht="26.4" outlineLevel="1">
      <c r="A40" s="792" t="s">
        <v>506</v>
      </c>
      <c r="B40" s="793"/>
      <c r="C40" s="793"/>
      <c r="D40" s="793"/>
      <c r="E40" s="793"/>
      <c r="F40" s="793"/>
      <c r="G40" s="793"/>
      <c r="H40" s="793"/>
      <c r="I40" s="793"/>
      <c r="J40" s="793"/>
      <c r="K40" s="793"/>
      <c r="L40" s="793"/>
      <c r="M40" s="794"/>
      <c r="O40" s="791"/>
    </row>
    <row r="41" spans="1:15" outlineLevel="1">
      <c r="A41" s="795" t="s">
        <v>507</v>
      </c>
      <c r="B41" s="769"/>
      <c r="C41" s="769"/>
      <c r="D41" s="769"/>
      <c r="E41" s="769"/>
      <c r="F41" s="769"/>
      <c r="G41" s="769"/>
      <c r="H41" s="769"/>
      <c r="I41" s="769"/>
      <c r="J41" s="769"/>
      <c r="K41" s="769"/>
      <c r="L41" s="769"/>
      <c r="M41" s="770"/>
      <c r="O41" t="s">
        <v>87</v>
      </c>
    </row>
    <row r="42" spans="1:15" ht="26.4" outlineLevel="1">
      <c r="A42" s="795" t="s">
        <v>508</v>
      </c>
      <c r="B42" s="769"/>
      <c r="C42" s="769"/>
      <c r="D42" s="769"/>
      <c r="E42" s="769"/>
      <c r="F42" s="769"/>
      <c r="G42" s="769"/>
      <c r="H42" s="769"/>
      <c r="I42" s="769"/>
      <c r="J42" s="769"/>
      <c r="K42" s="769"/>
      <c r="L42" s="769"/>
      <c r="M42" s="770"/>
      <c r="O42" t="s">
        <v>87</v>
      </c>
    </row>
    <row r="43" spans="1:15" outlineLevel="1">
      <c r="A43" s="792" t="s">
        <v>509</v>
      </c>
      <c r="B43" s="793"/>
      <c r="C43" s="793"/>
      <c r="D43" s="793"/>
      <c r="E43" s="793"/>
      <c r="F43" s="793"/>
      <c r="G43" s="793"/>
      <c r="H43" s="793"/>
      <c r="I43" s="793"/>
      <c r="J43" s="793"/>
      <c r="K43" s="793"/>
      <c r="L43" s="793"/>
      <c r="M43" s="794"/>
      <c r="O43" s="791"/>
    </row>
    <row r="44" spans="1:15" outlineLevel="1">
      <c r="A44" s="792" t="s">
        <v>510</v>
      </c>
      <c r="B44" s="793"/>
      <c r="C44" s="793"/>
      <c r="D44" s="793"/>
      <c r="E44" s="793"/>
      <c r="F44" s="793"/>
      <c r="G44" s="793"/>
      <c r="H44" s="793"/>
      <c r="I44" s="793"/>
      <c r="J44" s="793"/>
      <c r="K44" s="793"/>
      <c r="L44" s="793"/>
      <c r="M44" s="794"/>
      <c r="O44" s="791"/>
    </row>
    <row r="45" spans="1:15" outlineLevel="1">
      <c r="A45" s="795"/>
      <c r="B45" s="769"/>
      <c r="C45" s="769"/>
      <c r="D45" s="769"/>
      <c r="E45" s="769"/>
      <c r="F45" s="769"/>
      <c r="G45" s="769"/>
      <c r="H45" s="769"/>
      <c r="I45" s="769"/>
      <c r="J45" s="769"/>
      <c r="K45" s="769"/>
      <c r="L45" s="769"/>
      <c r="M45" s="770"/>
      <c r="O45" t="s">
        <v>87</v>
      </c>
    </row>
    <row r="46" spans="1:15" outlineLevel="1">
      <c r="A46" s="796"/>
      <c r="B46" s="754"/>
      <c r="C46" s="754"/>
      <c r="D46" s="754"/>
      <c r="E46" s="754"/>
      <c r="F46" s="754"/>
      <c r="G46" s="754"/>
      <c r="H46" s="754"/>
      <c r="I46" s="754"/>
      <c r="J46" s="754"/>
      <c r="K46" s="754"/>
      <c r="L46" s="754"/>
      <c r="M46" s="756"/>
    </row>
    <row r="47" spans="1:15" ht="15" outlineLevel="1" thickBot="1">
      <c r="A47" s="797"/>
      <c r="B47" s="798"/>
      <c r="C47" s="798"/>
      <c r="D47" s="798"/>
      <c r="E47" s="798"/>
      <c r="F47" s="798"/>
      <c r="G47" s="798"/>
      <c r="H47" s="798"/>
      <c r="I47" s="798"/>
      <c r="J47" s="798"/>
      <c r="K47" s="798"/>
      <c r="L47" s="798"/>
      <c r="M47" s="799"/>
    </row>
    <row r="48" spans="1:15" outlineLevel="1">
      <c r="A48" s="792"/>
      <c r="B48" s="793"/>
      <c r="C48" s="793"/>
      <c r="D48" s="793"/>
      <c r="E48" s="793"/>
      <c r="F48" s="793"/>
      <c r="G48" s="793"/>
      <c r="H48" s="793"/>
      <c r="I48" s="793"/>
      <c r="J48" s="793"/>
      <c r="K48" s="793"/>
      <c r="L48" s="793"/>
      <c r="M48" s="794"/>
    </row>
    <row r="49" spans="1:15" ht="15" outlineLevel="1" thickBot="1">
      <c r="A49" s="800" t="s">
        <v>511</v>
      </c>
      <c r="B49" s="801"/>
      <c r="C49" s="801"/>
      <c r="D49" s="801"/>
      <c r="E49" s="801"/>
      <c r="F49" s="801"/>
      <c r="G49" s="801"/>
      <c r="H49" s="801"/>
      <c r="I49" s="801"/>
      <c r="J49" s="801"/>
      <c r="K49" s="801"/>
      <c r="L49" s="801"/>
      <c r="M49" s="802"/>
    </row>
    <row r="50" spans="1:15" ht="15" thickBot="1">
      <c r="A50" s="803" t="s">
        <v>512</v>
      </c>
      <c r="B50" s="804">
        <f>+B29</f>
        <v>0</v>
      </c>
      <c r="C50" s="804">
        <f>+C29</f>
        <v>0</v>
      </c>
      <c r="D50" s="804">
        <f t="shared" ref="D50:M50" si="3">+D29</f>
        <v>0</v>
      </c>
      <c r="E50" s="804">
        <f t="shared" si="3"/>
        <v>0</v>
      </c>
      <c r="F50" s="804">
        <f t="shared" si="3"/>
        <v>0</v>
      </c>
      <c r="G50" s="804">
        <f t="shared" si="3"/>
        <v>0</v>
      </c>
      <c r="H50" s="804">
        <f t="shared" si="3"/>
        <v>0</v>
      </c>
      <c r="I50" s="804">
        <f t="shared" si="3"/>
        <v>0</v>
      </c>
      <c r="J50" s="804">
        <f t="shared" si="3"/>
        <v>0</v>
      </c>
      <c r="K50" s="804">
        <f t="shared" si="3"/>
        <v>0</v>
      </c>
      <c r="L50" s="804">
        <f t="shared" si="3"/>
        <v>0</v>
      </c>
      <c r="M50" s="805">
        <f t="shared" si="3"/>
        <v>0</v>
      </c>
    </row>
    <row r="51" spans="1:15" ht="15" thickBot="1">
      <c r="A51" s="806"/>
      <c r="B51" s="807"/>
      <c r="C51" s="807"/>
      <c r="D51" s="807"/>
      <c r="E51" s="807"/>
      <c r="F51" s="807"/>
      <c r="G51" s="807"/>
      <c r="H51" s="807"/>
      <c r="I51" s="807"/>
      <c r="J51" s="807"/>
      <c r="K51" s="807"/>
      <c r="L51" s="807"/>
      <c r="M51" s="808"/>
    </row>
    <row r="52" spans="1:15" ht="15" thickBot="1">
      <c r="A52" s="809" t="s">
        <v>513</v>
      </c>
      <c r="B52" s="810">
        <f>B28</f>
        <v>0</v>
      </c>
      <c r="C52" s="810">
        <f t="shared" ref="C52:M52" si="4">C28</f>
        <v>0</v>
      </c>
      <c r="D52" s="810">
        <f t="shared" si="4"/>
        <v>0</v>
      </c>
      <c r="E52" s="810">
        <f t="shared" si="4"/>
        <v>0</v>
      </c>
      <c r="F52" s="810">
        <f t="shared" si="4"/>
        <v>0</v>
      </c>
      <c r="G52" s="810">
        <f t="shared" si="4"/>
        <v>0</v>
      </c>
      <c r="H52" s="810">
        <f t="shared" si="4"/>
        <v>0</v>
      </c>
      <c r="I52" s="810">
        <f t="shared" si="4"/>
        <v>0</v>
      </c>
      <c r="J52" s="810">
        <f t="shared" si="4"/>
        <v>0</v>
      </c>
      <c r="K52" s="810">
        <f t="shared" si="4"/>
        <v>0</v>
      </c>
      <c r="L52" s="810">
        <f t="shared" si="4"/>
        <v>0</v>
      </c>
      <c r="M52" s="811">
        <f t="shared" si="4"/>
        <v>0</v>
      </c>
    </row>
    <row r="53" spans="1:15" ht="15" thickBot="1">
      <c r="A53" s="812"/>
      <c r="B53" s="813"/>
      <c r="C53" s="813"/>
      <c r="D53" s="813"/>
      <c r="E53" s="813"/>
      <c r="F53" s="813"/>
      <c r="G53" s="813"/>
      <c r="H53" s="813"/>
      <c r="I53" s="813"/>
      <c r="J53" s="813"/>
      <c r="K53" s="813"/>
      <c r="L53" s="813"/>
      <c r="M53" s="814"/>
    </row>
    <row r="54" spans="1:15" ht="17.399999999999999" customHeight="1" thickBot="1">
      <c r="A54" s="815" t="s">
        <v>2</v>
      </c>
      <c r="B54" s="816"/>
      <c r="C54" s="816"/>
      <c r="D54" s="816"/>
      <c r="E54" s="816"/>
      <c r="F54" s="816"/>
      <c r="G54" s="816"/>
      <c r="H54" s="816"/>
      <c r="I54" s="816"/>
      <c r="J54" s="816"/>
      <c r="K54" s="816"/>
      <c r="L54" s="816"/>
      <c r="M54" s="817"/>
      <c r="O54" s="818"/>
    </row>
    <row r="55" spans="1:15" ht="17.399999999999999" customHeight="1">
      <c r="A55" s="819" t="s">
        <v>514</v>
      </c>
      <c r="B55" s="820"/>
      <c r="C55" s="820"/>
      <c r="D55" s="820"/>
      <c r="E55" s="820"/>
      <c r="F55" s="820"/>
      <c r="G55" s="820"/>
      <c r="H55" s="820"/>
      <c r="I55" s="820"/>
      <c r="J55" s="820"/>
      <c r="K55" s="820"/>
      <c r="L55" s="820"/>
      <c r="M55" s="821"/>
    </row>
    <row r="56" spans="1:15" ht="17.399999999999999" customHeight="1">
      <c r="A56" s="822" t="s">
        <v>515</v>
      </c>
      <c r="B56" s="823"/>
      <c r="C56" s="823"/>
      <c r="D56" s="823"/>
      <c r="E56" s="823"/>
      <c r="F56" s="823"/>
      <c r="G56" s="823"/>
      <c r="H56" s="823"/>
      <c r="I56" s="823"/>
      <c r="J56" s="823"/>
      <c r="K56" s="823"/>
      <c r="L56" s="823"/>
      <c r="M56" s="824"/>
    </row>
    <row r="57" spans="1:15" ht="17.399999999999999" customHeight="1" thickBot="1">
      <c r="A57" s="825" t="s">
        <v>516</v>
      </c>
      <c r="B57" s="826"/>
      <c r="C57" s="826"/>
      <c r="D57" s="826"/>
      <c r="E57" s="826"/>
      <c r="F57" s="826"/>
      <c r="G57" s="826"/>
      <c r="H57" s="826"/>
      <c r="I57" s="826"/>
      <c r="J57" s="826"/>
      <c r="K57" s="826"/>
      <c r="L57" s="826"/>
      <c r="M57" s="827"/>
    </row>
    <row r="58" spans="1:15">
      <c r="A58" s="828"/>
      <c r="M58" s="265"/>
    </row>
    <row r="59" spans="1:15">
      <c r="A59" s="829" t="s">
        <v>517</v>
      </c>
      <c r="B59" s="754"/>
      <c r="C59" s="754"/>
      <c r="D59" s="754"/>
      <c r="E59" s="754"/>
      <c r="F59" s="754"/>
      <c r="G59" s="754"/>
      <c r="H59" s="754"/>
      <c r="I59" s="754"/>
      <c r="J59" s="754"/>
      <c r="K59" s="754"/>
      <c r="L59" s="754"/>
      <c r="M59" s="756"/>
      <c r="O59" s="761"/>
    </row>
    <row r="60" spans="1:15">
      <c r="A60" s="829" t="s">
        <v>518</v>
      </c>
      <c r="B60" s="754"/>
      <c r="C60" s="754"/>
      <c r="D60" s="754"/>
      <c r="E60" s="754"/>
      <c r="F60" s="754"/>
      <c r="G60" s="754"/>
      <c r="H60" s="754"/>
      <c r="I60" s="754"/>
      <c r="J60" s="754"/>
      <c r="K60" s="754"/>
      <c r="L60" s="754"/>
      <c r="M60" s="756"/>
      <c r="O60" s="761"/>
    </row>
    <row r="61" spans="1:15" ht="15" thickBot="1">
      <c r="A61" s="830" t="s">
        <v>52</v>
      </c>
      <c r="B61" s="787">
        <f>SUM(B62:B63)</f>
        <v>0</v>
      </c>
      <c r="C61" s="787">
        <f t="shared" ref="C61:M61" si="5">SUM(C62:C63)</f>
        <v>0</v>
      </c>
      <c r="D61" s="787">
        <f t="shared" si="5"/>
        <v>0</v>
      </c>
      <c r="E61" s="787">
        <f t="shared" si="5"/>
        <v>0</v>
      </c>
      <c r="F61" s="787">
        <f t="shared" si="5"/>
        <v>0</v>
      </c>
      <c r="G61" s="787">
        <f t="shared" si="5"/>
        <v>0</v>
      </c>
      <c r="H61" s="787">
        <f t="shared" si="5"/>
        <v>0</v>
      </c>
      <c r="I61" s="787">
        <f t="shared" si="5"/>
        <v>0</v>
      </c>
      <c r="J61" s="787">
        <f t="shared" si="5"/>
        <v>0</v>
      </c>
      <c r="K61" s="787">
        <f t="shared" si="5"/>
        <v>0</v>
      </c>
      <c r="L61" s="787">
        <f t="shared" si="5"/>
        <v>0</v>
      </c>
      <c r="M61" s="788">
        <f t="shared" si="5"/>
        <v>0</v>
      </c>
      <c r="O61" s="831"/>
    </row>
    <row r="62" spans="1:15">
      <c r="A62" s="832" t="s">
        <v>484</v>
      </c>
      <c r="B62" s="766"/>
      <c r="C62" s="766"/>
      <c r="D62" s="766"/>
      <c r="E62" s="766"/>
      <c r="F62" s="766"/>
      <c r="G62" s="766"/>
      <c r="H62" s="766"/>
      <c r="I62" s="766"/>
      <c r="J62" s="766"/>
      <c r="K62" s="766"/>
      <c r="L62" s="766"/>
      <c r="M62" s="767"/>
      <c r="O62" s="818"/>
    </row>
    <row r="63" spans="1:15" ht="15" thickBot="1">
      <c r="A63" s="833" t="s">
        <v>354</v>
      </c>
      <c r="B63" s="772"/>
      <c r="C63" s="772"/>
      <c r="D63" s="772"/>
      <c r="E63" s="772"/>
      <c r="F63" s="772"/>
      <c r="G63" s="772"/>
      <c r="H63" s="772"/>
      <c r="I63" s="772"/>
      <c r="J63" s="772"/>
      <c r="K63" s="772"/>
      <c r="L63" s="772"/>
      <c r="M63" s="773"/>
    </row>
    <row r="64" spans="1:15">
      <c r="A64" s="834" t="s">
        <v>519</v>
      </c>
      <c r="B64" s="775"/>
      <c r="C64" s="775"/>
      <c r="D64" s="775"/>
      <c r="E64" s="775"/>
      <c r="F64" s="775"/>
      <c r="G64" s="775"/>
      <c r="H64" s="775"/>
      <c r="I64" s="775"/>
      <c r="J64" s="775"/>
      <c r="K64" s="775"/>
      <c r="L64" s="775"/>
      <c r="M64" s="776"/>
      <c r="O64" s="761"/>
    </row>
    <row r="65" spans="1:15">
      <c r="A65" s="835"/>
      <c r="B65" s="836"/>
      <c r="C65" s="836"/>
      <c r="D65" s="836"/>
      <c r="E65" s="836"/>
      <c r="F65" s="836"/>
      <c r="G65" s="836"/>
      <c r="H65" s="836"/>
      <c r="I65" s="836"/>
      <c r="J65" s="836"/>
      <c r="K65" s="836"/>
      <c r="L65" s="836"/>
      <c r="M65" s="837"/>
    </row>
    <row r="66" spans="1:15">
      <c r="A66" s="829" t="s">
        <v>520</v>
      </c>
      <c r="B66" s="779"/>
      <c r="C66" s="779"/>
      <c r="D66" s="779"/>
      <c r="E66" s="779"/>
      <c r="F66" s="779"/>
      <c r="G66" s="779"/>
      <c r="H66" s="779"/>
      <c r="I66" s="779"/>
      <c r="J66" s="779"/>
      <c r="K66" s="779"/>
      <c r="L66" s="779"/>
      <c r="M66" s="782"/>
    </row>
    <row r="67" spans="1:15">
      <c r="A67" s="829" t="s">
        <v>521</v>
      </c>
      <c r="B67" s="779"/>
      <c r="C67" s="779"/>
      <c r="D67" s="779"/>
      <c r="E67" s="779"/>
      <c r="F67" s="779"/>
      <c r="G67" s="779"/>
      <c r="H67" s="779"/>
      <c r="I67" s="779"/>
      <c r="J67" s="779"/>
      <c r="K67" s="779"/>
      <c r="L67" s="779"/>
      <c r="M67" s="782"/>
      <c r="O67" s="761"/>
    </row>
    <row r="68" spans="1:15">
      <c r="A68" s="829" t="s">
        <v>522</v>
      </c>
      <c r="B68" s="779"/>
      <c r="C68" s="779"/>
      <c r="D68" s="779"/>
      <c r="E68" s="779"/>
      <c r="F68" s="779"/>
      <c r="G68" s="779"/>
      <c r="H68" s="779"/>
      <c r="I68" s="779"/>
      <c r="J68" s="779"/>
      <c r="K68" s="779"/>
      <c r="L68" s="779"/>
      <c r="M68" s="782"/>
      <c r="O68" s="761"/>
    </row>
    <row r="69" spans="1:15" ht="15" thickBot="1">
      <c r="A69" s="838" t="s">
        <v>35</v>
      </c>
      <c r="B69" s="839">
        <f>B55+B56+B57+B58+B59+B60+B61+B64++B65+B66+B67+B68</f>
        <v>0</v>
      </c>
      <c r="C69" s="839">
        <f t="shared" ref="C69:M69" si="6">C55+C56+C57+C58+C59+C60+C61+C64++C65+C66+C67+C68</f>
        <v>0</v>
      </c>
      <c r="D69" s="839">
        <f t="shared" si="6"/>
        <v>0</v>
      </c>
      <c r="E69" s="839">
        <f t="shared" si="6"/>
        <v>0</v>
      </c>
      <c r="F69" s="839">
        <f t="shared" si="6"/>
        <v>0</v>
      </c>
      <c r="G69" s="839">
        <f t="shared" si="6"/>
        <v>0</v>
      </c>
      <c r="H69" s="839">
        <f t="shared" si="6"/>
        <v>0</v>
      </c>
      <c r="I69" s="839">
        <f t="shared" si="6"/>
        <v>0</v>
      </c>
      <c r="J69" s="839">
        <f t="shared" si="6"/>
        <v>0</v>
      </c>
      <c r="K69" s="839">
        <f t="shared" si="6"/>
        <v>0</v>
      </c>
      <c r="L69" s="839">
        <f t="shared" si="6"/>
        <v>0</v>
      </c>
      <c r="M69" s="839">
        <f t="shared" si="6"/>
        <v>0</v>
      </c>
    </row>
    <row r="70" spans="1:15" ht="10.199999999999999" customHeight="1" thickBot="1">
      <c r="A70" s="840"/>
      <c r="B70" s="813"/>
      <c r="C70" s="813"/>
      <c r="D70" s="813"/>
      <c r="E70" s="813"/>
      <c r="F70" s="813"/>
      <c r="G70" s="813"/>
      <c r="H70" s="813"/>
      <c r="I70" s="813"/>
      <c r="J70" s="813"/>
      <c r="K70" s="813"/>
      <c r="L70" s="813"/>
      <c r="M70" s="814"/>
    </row>
    <row r="71" spans="1:15" ht="20.399999999999999" customHeight="1" thickBot="1">
      <c r="A71" s="841" t="s">
        <v>523</v>
      </c>
      <c r="B71" s="842">
        <f>+B6+B52-B69</f>
        <v>0</v>
      </c>
      <c r="C71" s="842">
        <f t="shared" ref="C71:M71" si="7">+C6+C52-C69</f>
        <v>0</v>
      </c>
      <c r="D71" s="842">
        <f t="shared" si="7"/>
        <v>0</v>
      </c>
      <c r="E71" s="842">
        <f t="shared" si="7"/>
        <v>0</v>
      </c>
      <c r="F71" s="842">
        <f t="shared" si="7"/>
        <v>0</v>
      </c>
      <c r="G71" s="842">
        <f t="shared" si="7"/>
        <v>0</v>
      </c>
      <c r="H71" s="842">
        <f t="shared" si="7"/>
        <v>0</v>
      </c>
      <c r="I71" s="842">
        <f t="shared" si="7"/>
        <v>0</v>
      </c>
      <c r="J71" s="842">
        <f t="shared" si="7"/>
        <v>0</v>
      </c>
      <c r="K71" s="842">
        <f t="shared" si="7"/>
        <v>0</v>
      </c>
      <c r="L71" s="842">
        <f t="shared" si="7"/>
        <v>0</v>
      </c>
      <c r="M71" s="843">
        <f t="shared" si="7"/>
        <v>0</v>
      </c>
    </row>
    <row r="73" spans="1:15">
      <c r="D73" t="s">
        <v>87</v>
      </c>
    </row>
    <row r="74" spans="1:15">
      <c r="C74" s="844"/>
      <c r="D74" s="844"/>
      <c r="E74" s="844"/>
      <c r="F74" s="844"/>
    </row>
    <row r="81" spans="10:10">
      <c r="J81" s="845"/>
    </row>
    <row r="82" spans="10:10">
      <c r="J82" s="846"/>
    </row>
  </sheetData>
  <mergeCells count="2">
    <mergeCell ref="A1:M1"/>
    <mergeCell ref="A4:A5"/>
  </mergeCells>
  <conditionalFormatting sqref="B71">
    <cfRule type="cellIs" dxfId="6" priority="3" operator="greaterThan">
      <formula>0</formula>
    </cfRule>
    <cfRule type="cellIs" dxfId="5" priority="4" operator="lessThan">
      <formula>0</formula>
    </cfRule>
  </conditionalFormatting>
  <conditionalFormatting sqref="C71:M71">
    <cfRule type="cellIs" dxfId="4" priority="1" operator="greaterThan">
      <formula>0</formula>
    </cfRule>
    <cfRule type="cellIs" dxfId="3" priority="2" operator="lessThan">
      <formula>0</formula>
    </cfRule>
  </conditionalFormatting>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C52E5-6258-4316-874E-4E94D949292A}">
  <dimension ref="A1:IF353"/>
  <sheetViews>
    <sheetView workbookViewId="0">
      <selection activeCell="O55" sqref="O55"/>
    </sheetView>
  </sheetViews>
  <sheetFormatPr defaultColWidth="9.21875" defaultRowHeight="10.199999999999999"/>
  <cols>
    <col min="1" max="1" width="35.77734375" style="6" customWidth="1"/>
    <col min="2" max="2" width="3.21875" style="67" customWidth="1"/>
    <col min="3" max="8" width="8.77734375" style="6" customWidth="1"/>
    <col min="9" max="10" width="6.77734375" style="6" customWidth="1"/>
    <col min="11" max="13" width="10.77734375" style="6" customWidth="1"/>
    <col min="14" max="16384" width="9.21875" style="6"/>
  </cols>
  <sheetData>
    <row r="1" spans="1:13" ht="13.8">
      <c r="A1" s="1114" t="str">
        <f>muni&amp; " - "&amp;S71B&amp; " - "&amp;date</f>
        <v>WC041 Kannaland - Table C4 Monthly Budget Statement - Financial Performance (revenue and expenditure) - M07 January</v>
      </c>
      <c r="B1" s="1114"/>
      <c r="C1" s="1114"/>
      <c r="D1" s="1114"/>
      <c r="E1" s="1114"/>
      <c r="F1" s="1114"/>
      <c r="G1" s="1114"/>
      <c r="H1" s="1114"/>
      <c r="I1" s="1114"/>
      <c r="J1" s="1114"/>
      <c r="K1" s="1114"/>
    </row>
    <row r="2" spans="1:13" ht="13.35" customHeight="1">
      <c r="A2" s="1115" t="str">
        <f>desc</f>
        <v>Description</v>
      </c>
      <c r="B2" s="1117" t="str">
        <f>head27</f>
        <v>Ref</v>
      </c>
      <c r="C2" s="912" t="str">
        <f>Head1</f>
        <v>2022/23</v>
      </c>
      <c r="D2" s="1086" t="str">
        <f>Head2</f>
        <v>Budget Year 2023/24</v>
      </c>
      <c r="E2" s="1087"/>
      <c r="F2" s="1087"/>
      <c r="G2" s="1087"/>
      <c r="H2" s="1087"/>
      <c r="I2" s="1087"/>
      <c r="J2" s="1087"/>
      <c r="K2" s="1088"/>
    </row>
    <row r="3" spans="1:13" ht="20.399999999999999">
      <c r="A3" s="1116"/>
      <c r="B3" s="1118"/>
      <c r="C3" s="913" t="str">
        <f>Head5</f>
        <v>Audited Outcome</v>
      </c>
      <c r="D3" s="914" t="str">
        <f>Head6</f>
        <v>Original Budget</v>
      </c>
      <c r="E3" s="915" t="str">
        <f>Head7</f>
        <v>Adjusted Budget</v>
      </c>
      <c r="F3" s="915" t="str">
        <f>Head38</f>
        <v>Monthly Actual</v>
      </c>
      <c r="G3" s="915" t="str">
        <f>Head39</f>
        <v>YearTD Actual</v>
      </c>
      <c r="H3" s="915" t="str">
        <f>Head40</f>
        <v>YearTD Budget</v>
      </c>
      <c r="I3" s="915" t="str">
        <f>Head41</f>
        <v>YTD Variance</v>
      </c>
      <c r="J3" s="916" t="str">
        <f>Head41</f>
        <v>YTD Variance</v>
      </c>
      <c r="K3" s="917" t="str">
        <f>Head8</f>
        <v>Full Year Forecast</v>
      </c>
      <c r="L3" s="917"/>
      <c r="M3" s="917"/>
    </row>
    <row r="4" spans="1:13">
      <c r="A4" s="7" t="s">
        <v>674</v>
      </c>
      <c r="B4" s="918"/>
      <c r="C4" s="919"/>
      <c r="D4" s="920"/>
      <c r="E4" s="921"/>
      <c r="F4" s="922"/>
      <c r="G4" s="922"/>
      <c r="H4" s="922"/>
      <c r="I4" s="922"/>
      <c r="J4" s="923" t="s">
        <v>351</v>
      </c>
      <c r="K4" s="924"/>
      <c r="L4" s="924"/>
      <c r="M4" s="924"/>
    </row>
    <row r="5" spans="1:13" ht="12.75" customHeight="1">
      <c r="A5" s="925" t="s">
        <v>268</v>
      </c>
      <c r="B5" s="926"/>
      <c r="C5" s="927"/>
      <c r="D5" s="928"/>
      <c r="E5" s="929"/>
      <c r="F5" s="929"/>
      <c r="G5" s="929"/>
      <c r="H5" s="929"/>
      <c r="I5" s="929"/>
      <c r="J5" s="929"/>
      <c r="K5" s="930"/>
      <c r="L5" s="930"/>
      <c r="M5" s="930"/>
    </row>
    <row r="6" spans="1:13" ht="11.25" customHeight="1">
      <c r="A6" s="85" t="s">
        <v>675</v>
      </c>
      <c r="B6" s="931"/>
      <c r="C6" s="932">
        <f>SUM(C7:C20)</f>
        <v>112995410.78999999</v>
      </c>
      <c r="D6" s="933">
        <f t="shared" ref="D6:H6" si="0">SUM(D7:D20)</f>
        <v>127346310</v>
      </c>
      <c r="E6" s="126">
        <f t="shared" si="0"/>
        <v>127346300</v>
      </c>
      <c r="F6" s="126">
        <f t="shared" si="0"/>
        <v>10806025.529999997</v>
      </c>
      <c r="G6" s="126">
        <f t="shared" si="0"/>
        <v>74845814.570000008</v>
      </c>
      <c r="H6" s="126">
        <f t="shared" si="0"/>
        <v>74285232</v>
      </c>
      <c r="I6" s="16">
        <f t="shared" ref="I6:I21" si="1">G6-H6</f>
        <v>560582.57000000775</v>
      </c>
      <c r="J6" s="934">
        <f>IFERROR(IF(I6=0,"",I6/H6),"")</f>
        <v>7.5463528201676448E-3</v>
      </c>
      <c r="K6" s="935">
        <f>SUM(K7:K20)</f>
        <v>127346300</v>
      </c>
      <c r="L6" s="936">
        <f t="shared" ref="L6:M6" si="2">SUM(L7:L20)</f>
        <v>128307110.69142859</v>
      </c>
      <c r="M6" s="936">
        <f t="shared" si="2"/>
        <v>960810.69142857729</v>
      </c>
    </row>
    <row r="7" spans="1:13" ht="11.25" customHeight="1">
      <c r="A7" s="14" t="s">
        <v>676</v>
      </c>
      <c r="B7" s="931"/>
      <c r="C7" s="937">
        <v>64072822.950000003</v>
      </c>
      <c r="D7" s="938">
        <v>76100780</v>
      </c>
      <c r="E7" s="939">
        <v>76100780</v>
      </c>
      <c r="F7" s="939">
        <v>5864931.4800000004</v>
      </c>
      <c r="G7" s="939">
        <v>42895435.490000002</v>
      </c>
      <c r="H7" s="939">
        <v>44392096</v>
      </c>
      <c r="I7" s="16">
        <f t="shared" si="1"/>
        <v>-1496660.5099999979</v>
      </c>
      <c r="J7" s="934">
        <f t="shared" ref="J7:J33" si="3">IFERROR(IF(I7=0,"",I7/H7),"")</f>
        <v>-3.3714571846303401E-2</v>
      </c>
      <c r="K7" s="940">
        <v>76100780</v>
      </c>
      <c r="L7" s="940">
        <f>G7/7*12</f>
        <v>73535032.268571436</v>
      </c>
      <c r="M7" s="940">
        <f>L7-E7</f>
        <v>-2565747.7314285636</v>
      </c>
    </row>
    <row r="8" spans="1:13" ht="11.25" customHeight="1">
      <c r="A8" s="14" t="s">
        <v>677</v>
      </c>
      <c r="B8" s="931"/>
      <c r="C8" s="937">
        <v>20257719.550000001</v>
      </c>
      <c r="D8" s="938">
        <v>22267430</v>
      </c>
      <c r="E8" s="939">
        <v>22267430</v>
      </c>
      <c r="F8" s="939">
        <v>2503652.86</v>
      </c>
      <c r="G8" s="939">
        <v>13047422.98</v>
      </c>
      <c r="H8" s="939">
        <v>12989326</v>
      </c>
      <c r="I8" s="16">
        <f t="shared" si="1"/>
        <v>58096.980000000447</v>
      </c>
      <c r="J8" s="934">
        <f t="shared" si="3"/>
        <v>4.4726708683730356E-3</v>
      </c>
      <c r="K8" s="940">
        <v>22267430</v>
      </c>
      <c r="L8" s="940">
        <f t="shared" ref="L8:L32" si="4">G8/7*12</f>
        <v>22367010.822857141</v>
      </c>
      <c r="M8" s="940">
        <f t="shared" ref="M8:M32" si="5">L8-E8</f>
        <v>99580.822857141495</v>
      </c>
    </row>
    <row r="9" spans="1:13" ht="11.25" customHeight="1">
      <c r="A9" s="14" t="s">
        <v>678</v>
      </c>
      <c r="B9" s="931"/>
      <c r="C9" s="937">
        <v>8706826.5199999996</v>
      </c>
      <c r="D9" s="938">
        <v>9609800</v>
      </c>
      <c r="E9" s="939">
        <v>9609800</v>
      </c>
      <c r="F9" s="939">
        <v>768915.15</v>
      </c>
      <c r="G9" s="939">
        <v>5409413.9100000001</v>
      </c>
      <c r="H9" s="939">
        <v>5605705</v>
      </c>
      <c r="I9" s="16">
        <f t="shared" si="1"/>
        <v>-196291.08999999985</v>
      </c>
      <c r="J9" s="934">
        <f t="shared" si="3"/>
        <v>-3.5016307493883438E-2</v>
      </c>
      <c r="K9" s="940">
        <v>9609800</v>
      </c>
      <c r="L9" s="940">
        <f t="shared" si="4"/>
        <v>9273280.9885714278</v>
      </c>
      <c r="M9" s="940">
        <f t="shared" si="5"/>
        <v>-336519.01142857224</v>
      </c>
    </row>
    <row r="10" spans="1:13">
      <c r="A10" s="14" t="s">
        <v>679</v>
      </c>
      <c r="B10" s="931"/>
      <c r="C10" s="937">
        <v>8909599.9900000002</v>
      </c>
      <c r="D10" s="938">
        <v>9410300</v>
      </c>
      <c r="E10" s="939">
        <v>9410300</v>
      </c>
      <c r="F10" s="939">
        <v>740660.69</v>
      </c>
      <c r="G10" s="939">
        <v>5330860.3</v>
      </c>
      <c r="H10" s="939">
        <v>5489344</v>
      </c>
      <c r="I10" s="16">
        <f t="shared" si="1"/>
        <v>-158483.70000000019</v>
      </c>
      <c r="J10" s="934">
        <f t="shared" si="3"/>
        <v>-2.8871154731785836E-2</v>
      </c>
      <c r="K10" s="940">
        <v>9410300</v>
      </c>
      <c r="L10" s="940">
        <f t="shared" si="4"/>
        <v>9138617.6571428571</v>
      </c>
      <c r="M10" s="940">
        <f t="shared" si="5"/>
        <v>-271682.34285714291</v>
      </c>
    </row>
    <row r="11" spans="1:13">
      <c r="A11" s="14" t="s">
        <v>680</v>
      </c>
      <c r="B11" s="931"/>
      <c r="C11" s="937">
        <v>427564.55</v>
      </c>
      <c r="D11" s="938">
        <v>396000</v>
      </c>
      <c r="E11" s="939">
        <v>396000</v>
      </c>
      <c r="F11" s="939">
        <v>50354.31</v>
      </c>
      <c r="G11" s="939">
        <v>322259.55</v>
      </c>
      <c r="H11" s="939">
        <v>230986</v>
      </c>
      <c r="I11" s="16">
        <f t="shared" si="1"/>
        <v>91273.549999999988</v>
      </c>
      <c r="J11" s="934">
        <f t="shared" si="3"/>
        <v>0.39514754140943603</v>
      </c>
      <c r="K11" s="940">
        <v>396000</v>
      </c>
      <c r="L11" s="940">
        <f t="shared" si="4"/>
        <v>552444.94285714277</v>
      </c>
      <c r="M11" s="940">
        <f t="shared" si="5"/>
        <v>156444.94285714277</v>
      </c>
    </row>
    <row r="12" spans="1:13" ht="11.25" customHeight="1">
      <c r="A12" s="14" t="s">
        <v>19</v>
      </c>
      <c r="B12" s="931"/>
      <c r="C12" s="937">
        <v>1215427.3899999999</v>
      </c>
      <c r="D12" s="938">
        <v>1350000</v>
      </c>
      <c r="E12" s="939">
        <v>1350000</v>
      </c>
      <c r="F12" s="939">
        <v>102178.79</v>
      </c>
      <c r="G12" s="939">
        <v>826705.59</v>
      </c>
      <c r="H12" s="939">
        <v>787500</v>
      </c>
      <c r="I12" s="16">
        <f>G12-H12</f>
        <v>39205.589999999967</v>
      </c>
      <c r="J12" s="934">
        <f t="shared" si="3"/>
        <v>4.9784876190476147E-2</v>
      </c>
      <c r="K12" s="940">
        <v>1350000</v>
      </c>
      <c r="L12" s="940">
        <f t="shared" si="4"/>
        <v>1417209.5828571427</v>
      </c>
      <c r="M12" s="940">
        <f t="shared" si="5"/>
        <v>67209.582857142668</v>
      </c>
    </row>
    <row r="13" spans="1:13" ht="11.25" customHeight="1">
      <c r="A13" s="14" t="s">
        <v>63</v>
      </c>
      <c r="B13" s="931"/>
      <c r="C13" s="937">
        <v>0</v>
      </c>
      <c r="D13" s="938">
        <v>0</v>
      </c>
      <c r="E13" s="939">
        <v>0</v>
      </c>
      <c r="F13" s="939">
        <v>0</v>
      </c>
      <c r="G13" s="939">
        <v>0</v>
      </c>
      <c r="H13" s="939">
        <v>0</v>
      </c>
      <c r="I13" s="16">
        <f>G13-H13</f>
        <v>0</v>
      </c>
      <c r="J13" s="934" t="str">
        <f t="shared" si="3"/>
        <v/>
      </c>
      <c r="K13" s="940">
        <v>0</v>
      </c>
      <c r="L13" s="940">
        <f t="shared" si="4"/>
        <v>0</v>
      </c>
      <c r="M13" s="940">
        <f t="shared" si="5"/>
        <v>0</v>
      </c>
    </row>
    <row r="14" spans="1:13" ht="11.25" customHeight="1">
      <c r="A14" s="14" t="s">
        <v>681</v>
      </c>
      <c r="B14" s="931"/>
      <c r="C14" s="937">
        <v>6176172.9500000002</v>
      </c>
      <c r="D14" s="938">
        <v>5928800</v>
      </c>
      <c r="E14" s="939">
        <v>5928800</v>
      </c>
      <c r="F14" s="939">
        <v>453110.85</v>
      </c>
      <c r="G14" s="939">
        <v>5055623.7</v>
      </c>
      <c r="H14" s="939">
        <v>3458455</v>
      </c>
      <c r="I14" s="16">
        <f>G14-H14</f>
        <v>1597168.7000000002</v>
      </c>
      <c r="J14" s="934">
        <f t="shared" si="3"/>
        <v>0.46181566624403098</v>
      </c>
      <c r="K14" s="940">
        <v>5928800</v>
      </c>
      <c r="L14" s="940">
        <f t="shared" si="4"/>
        <v>8666783.4857142866</v>
      </c>
      <c r="M14" s="940">
        <f t="shared" si="5"/>
        <v>2737983.4857142866</v>
      </c>
    </row>
    <row r="15" spans="1:13" ht="11.25" customHeight="1">
      <c r="A15" s="14" t="s">
        <v>682</v>
      </c>
      <c r="B15" s="931"/>
      <c r="C15" s="937">
        <v>1844553.52</v>
      </c>
      <c r="D15" s="938">
        <v>960000</v>
      </c>
      <c r="E15" s="939">
        <v>960000</v>
      </c>
      <c r="F15" s="939">
        <v>239820.1</v>
      </c>
      <c r="G15" s="939">
        <v>1061310.6100000001</v>
      </c>
      <c r="H15" s="939">
        <v>560000</v>
      </c>
      <c r="I15" s="16">
        <f t="shared" si="1"/>
        <v>501310.6100000001</v>
      </c>
      <c r="J15" s="934">
        <f t="shared" si="3"/>
        <v>0.89519751785714308</v>
      </c>
      <c r="K15" s="940">
        <v>960000</v>
      </c>
      <c r="L15" s="940">
        <f t="shared" si="4"/>
        <v>1819389.6171428571</v>
      </c>
      <c r="M15" s="940">
        <f t="shared" si="5"/>
        <v>859389.61714285705</v>
      </c>
    </row>
    <row r="16" spans="1:13" ht="11.25" customHeight="1">
      <c r="A16" s="14" t="s">
        <v>64</v>
      </c>
      <c r="B16" s="931"/>
      <c r="C16" s="937">
        <v>0</v>
      </c>
      <c r="D16" s="938">
        <v>0</v>
      </c>
      <c r="E16" s="939">
        <v>0</v>
      </c>
      <c r="F16" s="939">
        <v>0</v>
      </c>
      <c r="G16" s="939">
        <v>0</v>
      </c>
      <c r="H16" s="939">
        <v>0</v>
      </c>
      <c r="I16" s="16">
        <f t="shared" si="1"/>
        <v>0</v>
      </c>
      <c r="J16" s="934" t="str">
        <f t="shared" si="3"/>
        <v/>
      </c>
      <c r="K16" s="940">
        <v>0</v>
      </c>
      <c r="L16" s="940">
        <f t="shared" si="4"/>
        <v>0</v>
      </c>
      <c r="M16" s="940">
        <f t="shared" si="5"/>
        <v>0</v>
      </c>
    </row>
    <row r="17" spans="1:13" ht="11.25" customHeight="1">
      <c r="A17" s="14" t="s">
        <v>683</v>
      </c>
      <c r="B17" s="931"/>
      <c r="C17" s="937">
        <v>0</v>
      </c>
      <c r="D17" s="938">
        <v>0</v>
      </c>
      <c r="E17" s="939">
        <v>0</v>
      </c>
      <c r="F17" s="939">
        <v>0</v>
      </c>
      <c r="G17" s="939">
        <v>0</v>
      </c>
      <c r="H17" s="939">
        <v>0</v>
      </c>
      <c r="I17" s="16">
        <f>G17-H17</f>
        <v>0</v>
      </c>
      <c r="J17" s="934" t="str">
        <f t="shared" si="3"/>
        <v/>
      </c>
      <c r="K17" s="940">
        <v>0</v>
      </c>
      <c r="L17" s="940">
        <f t="shared" si="4"/>
        <v>0</v>
      </c>
      <c r="M17" s="940">
        <f t="shared" si="5"/>
        <v>0</v>
      </c>
    </row>
    <row r="18" spans="1:13" ht="11.25" customHeight="1">
      <c r="A18" s="14" t="s">
        <v>684</v>
      </c>
      <c r="B18" s="931"/>
      <c r="C18" s="937">
        <v>611426.03</v>
      </c>
      <c r="D18" s="938">
        <v>1098000</v>
      </c>
      <c r="E18" s="939">
        <v>1098000</v>
      </c>
      <c r="F18" s="939">
        <v>51120.32</v>
      </c>
      <c r="G18" s="939">
        <v>387352.81</v>
      </c>
      <c r="H18" s="939">
        <v>640486</v>
      </c>
      <c r="I18" s="16">
        <f>G18-H18</f>
        <v>-253133.19</v>
      </c>
      <c r="J18" s="934">
        <f t="shared" si="3"/>
        <v>-0.39522048881630512</v>
      </c>
      <c r="K18" s="940">
        <v>1098000</v>
      </c>
      <c r="L18" s="940">
        <f t="shared" si="4"/>
        <v>664033.3885714286</v>
      </c>
      <c r="M18" s="940">
        <f t="shared" si="5"/>
        <v>-433966.6114285714</v>
      </c>
    </row>
    <row r="19" spans="1:13" ht="11.25" customHeight="1">
      <c r="A19" s="14" t="s">
        <v>685</v>
      </c>
      <c r="B19" s="931"/>
      <c r="C19" s="937">
        <v>171119.51</v>
      </c>
      <c r="D19" s="938">
        <v>159000</v>
      </c>
      <c r="E19" s="939">
        <v>159000</v>
      </c>
      <c r="F19" s="939">
        <v>11760.86</v>
      </c>
      <c r="G19" s="939">
        <v>107732.01</v>
      </c>
      <c r="H19" s="939">
        <v>92743</v>
      </c>
      <c r="I19" s="16">
        <f t="shared" si="1"/>
        <v>14989.009999999995</v>
      </c>
      <c r="J19" s="934">
        <f t="shared" si="3"/>
        <v>0.16161877446276263</v>
      </c>
      <c r="K19" s="940">
        <v>159000</v>
      </c>
      <c r="L19" s="940">
        <f t="shared" si="4"/>
        <v>184683.44571428571</v>
      </c>
      <c r="M19" s="940">
        <f t="shared" si="5"/>
        <v>25683.445714285714</v>
      </c>
    </row>
    <row r="20" spans="1:13" ht="11.25" customHeight="1">
      <c r="A20" s="14" t="s">
        <v>686</v>
      </c>
      <c r="B20" s="931"/>
      <c r="C20" s="937">
        <v>602177.82999999996</v>
      </c>
      <c r="D20" s="938">
        <v>66200</v>
      </c>
      <c r="E20" s="939">
        <v>66190</v>
      </c>
      <c r="F20" s="939">
        <v>19520.12</v>
      </c>
      <c r="G20" s="939">
        <v>401697.62</v>
      </c>
      <c r="H20" s="939">
        <v>38591</v>
      </c>
      <c r="I20" s="16">
        <f t="shared" si="1"/>
        <v>363106.62</v>
      </c>
      <c r="J20" s="934">
        <f t="shared" si="3"/>
        <v>9.4091010857453803</v>
      </c>
      <c r="K20" s="940">
        <v>66190</v>
      </c>
      <c r="L20" s="940">
        <f t="shared" si="4"/>
        <v>688624.4914285714</v>
      </c>
      <c r="M20" s="940">
        <f t="shared" si="5"/>
        <v>622434.4914285714</v>
      </c>
    </row>
    <row r="21" spans="1:13" ht="11.25" customHeight="1">
      <c r="A21" s="85" t="s">
        <v>687</v>
      </c>
      <c r="B21" s="931"/>
      <c r="C21" s="932">
        <f>SUM(C22:C31)</f>
        <v>70762462.459999993</v>
      </c>
      <c r="D21" s="933">
        <f t="shared" ref="D21:H21" si="6">SUM(D22:D31)</f>
        <v>98999563</v>
      </c>
      <c r="E21" s="126">
        <f t="shared" si="6"/>
        <v>106410573</v>
      </c>
      <c r="F21" s="126">
        <f t="shared" si="6"/>
        <v>7717883.7999999998</v>
      </c>
      <c r="G21" s="126">
        <f t="shared" si="6"/>
        <v>54779574.430000007</v>
      </c>
      <c r="H21" s="126">
        <f t="shared" si="6"/>
        <v>63948816</v>
      </c>
      <c r="I21" s="16">
        <f t="shared" si="1"/>
        <v>-9169241.5699999928</v>
      </c>
      <c r="J21" s="934">
        <f t="shared" si="3"/>
        <v>-0.14338407094198574</v>
      </c>
      <c r="K21" s="935">
        <f>SUM(K22:K31)</f>
        <v>98999573</v>
      </c>
      <c r="L21" s="935">
        <f t="shared" ref="L21:M21" si="7">SUM(L22:L31)</f>
        <v>93907841.879999995</v>
      </c>
      <c r="M21" s="935">
        <f t="shared" si="7"/>
        <v>-12502731.120000003</v>
      </c>
    </row>
    <row r="22" spans="1:13" ht="11.25" customHeight="1">
      <c r="A22" s="14" t="s">
        <v>7</v>
      </c>
      <c r="B22" s="931"/>
      <c r="C22" s="937">
        <v>25562408.329999998</v>
      </c>
      <c r="D22" s="938">
        <v>26914913</v>
      </c>
      <c r="E22" s="939">
        <v>26914913</v>
      </c>
      <c r="F22" s="939">
        <v>2293930.34</v>
      </c>
      <c r="G22" s="939">
        <v>16481485.84</v>
      </c>
      <c r="H22" s="939">
        <v>15700363</v>
      </c>
      <c r="I22" s="16">
        <f>G22-H22</f>
        <v>781122.83999999985</v>
      </c>
      <c r="J22" s="934">
        <f t="shared" si="3"/>
        <v>4.9751896819200919E-2</v>
      </c>
      <c r="K22" s="940">
        <v>26914913</v>
      </c>
      <c r="L22" s="940">
        <f t="shared" si="4"/>
        <v>28253975.725714281</v>
      </c>
      <c r="M22" s="940">
        <f t="shared" si="5"/>
        <v>1339062.7257142812</v>
      </c>
    </row>
    <row r="23" spans="1:13" ht="11.25" customHeight="1">
      <c r="A23" s="14" t="s">
        <v>688</v>
      </c>
      <c r="B23" s="931"/>
      <c r="C23" s="937">
        <v>0</v>
      </c>
      <c r="D23" s="938">
        <v>0</v>
      </c>
      <c r="E23" s="939">
        <v>10</v>
      </c>
      <c r="F23" s="939">
        <v>4530011.76</v>
      </c>
      <c r="G23" s="939">
        <v>5112695.5</v>
      </c>
      <c r="H23" s="939">
        <v>0</v>
      </c>
      <c r="I23" s="16">
        <f>G23-H23</f>
        <v>5112695.5</v>
      </c>
      <c r="J23" s="934" t="str">
        <f t="shared" si="3"/>
        <v/>
      </c>
      <c r="K23" s="940">
        <v>10</v>
      </c>
      <c r="L23" s="940">
        <f t="shared" si="4"/>
        <v>8764620.8571428582</v>
      </c>
      <c r="M23" s="940">
        <f t="shared" si="5"/>
        <v>8764610.8571428582</v>
      </c>
    </row>
    <row r="24" spans="1:13" ht="11.25" customHeight="1">
      <c r="A24" s="14" t="s">
        <v>17</v>
      </c>
      <c r="B24" s="931"/>
      <c r="C24" s="937">
        <v>395005.75</v>
      </c>
      <c r="D24" s="938">
        <v>2501000</v>
      </c>
      <c r="E24" s="939">
        <v>2501000</v>
      </c>
      <c r="F24" s="939">
        <v>14000</v>
      </c>
      <c r="G24" s="939">
        <v>142156.51</v>
      </c>
      <c r="H24" s="939">
        <v>1458912</v>
      </c>
      <c r="I24" s="16">
        <f>G24-H24</f>
        <v>-1316755.49</v>
      </c>
      <c r="J24" s="934">
        <f t="shared" si="3"/>
        <v>-0.90255991451163609</v>
      </c>
      <c r="K24" s="940">
        <v>2501000</v>
      </c>
      <c r="L24" s="940">
        <f t="shared" si="4"/>
        <v>243696.87428571429</v>
      </c>
      <c r="M24" s="940">
        <f t="shared" si="5"/>
        <v>-2257303.1257142858</v>
      </c>
    </row>
    <row r="25" spans="1:13" ht="11.25" customHeight="1">
      <c r="A25" s="14" t="s">
        <v>685</v>
      </c>
      <c r="B25" s="931"/>
      <c r="C25" s="937">
        <v>366.24</v>
      </c>
      <c r="D25" s="938">
        <v>30000</v>
      </c>
      <c r="E25" s="939">
        <v>30000</v>
      </c>
      <c r="F25" s="939">
        <v>0</v>
      </c>
      <c r="G25" s="939">
        <v>55.3</v>
      </c>
      <c r="H25" s="939">
        <v>17500</v>
      </c>
      <c r="I25" s="16">
        <f t="shared" ref="I25" si="8">G25-H25</f>
        <v>-17444.7</v>
      </c>
      <c r="J25" s="934">
        <f t="shared" si="3"/>
        <v>-0.99684000000000006</v>
      </c>
      <c r="K25" s="940">
        <v>30000</v>
      </c>
      <c r="L25" s="940">
        <f t="shared" si="4"/>
        <v>94.8</v>
      </c>
      <c r="M25" s="940">
        <f t="shared" si="5"/>
        <v>-29905.200000000001</v>
      </c>
    </row>
    <row r="26" spans="1:13" ht="11.25" customHeight="1">
      <c r="A26" s="14" t="s">
        <v>689</v>
      </c>
      <c r="B26" s="931"/>
      <c r="C26" s="937">
        <v>41576390.920000002</v>
      </c>
      <c r="D26" s="938">
        <v>64251650</v>
      </c>
      <c r="E26" s="939">
        <v>71662650</v>
      </c>
      <c r="F26" s="939">
        <v>630049.24</v>
      </c>
      <c r="G26" s="939">
        <v>30687168.420000002</v>
      </c>
      <c r="H26" s="939">
        <v>43679231</v>
      </c>
      <c r="I26" s="16">
        <f>G26-H26</f>
        <v>-12992062.579999998</v>
      </c>
      <c r="J26" s="934">
        <f t="shared" si="3"/>
        <v>-0.29744256669720209</v>
      </c>
      <c r="K26" s="940">
        <v>64251650</v>
      </c>
      <c r="L26" s="940">
        <f t="shared" si="4"/>
        <v>52606574.434285715</v>
      </c>
      <c r="M26" s="940">
        <f t="shared" si="5"/>
        <v>-19056075.565714285</v>
      </c>
    </row>
    <row r="27" spans="1:13" ht="11.25" customHeight="1">
      <c r="A27" s="14" t="s">
        <v>63</v>
      </c>
      <c r="B27" s="931"/>
      <c r="C27" s="937">
        <v>2561208.8199999998</v>
      </c>
      <c r="D27" s="938">
        <v>2802000</v>
      </c>
      <c r="E27" s="939">
        <v>2802000</v>
      </c>
      <c r="F27" s="939">
        <v>191078.07</v>
      </c>
      <c r="G27" s="939">
        <v>1932493.5</v>
      </c>
      <c r="H27" s="939">
        <v>1634479</v>
      </c>
      <c r="I27" s="16">
        <f t="shared" ref="I27:I29" si="9">G27-H27</f>
        <v>298014.5</v>
      </c>
      <c r="J27" s="934">
        <f t="shared" si="3"/>
        <v>0.18232996569549073</v>
      </c>
      <c r="K27" s="940">
        <v>2802000</v>
      </c>
      <c r="L27" s="940">
        <f t="shared" si="4"/>
        <v>3312846</v>
      </c>
      <c r="M27" s="940">
        <f t="shared" si="5"/>
        <v>510846</v>
      </c>
    </row>
    <row r="28" spans="1:13" ht="11.25" customHeight="1">
      <c r="A28" s="14" t="s">
        <v>690</v>
      </c>
      <c r="B28" s="931"/>
      <c r="C28" s="937">
        <v>0</v>
      </c>
      <c r="D28" s="938">
        <v>0</v>
      </c>
      <c r="E28" s="939">
        <v>0</v>
      </c>
      <c r="F28" s="939">
        <v>0</v>
      </c>
      <c r="G28" s="939">
        <v>0</v>
      </c>
      <c r="H28" s="939">
        <v>0</v>
      </c>
      <c r="I28" s="16">
        <f t="shared" si="9"/>
        <v>0</v>
      </c>
      <c r="J28" s="934" t="str">
        <f t="shared" si="3"/>
        <v/>
      </c>
      <c r="K28" s="940">
        <v>0</v>
      </c>
      <c r="L28" s="940">
        <f t="shared" si="4"/>
        <v>0</v>
      </c>
      <c r="M28" s="940">
        <f t="shared" si="5"/>
        <v>0</v>
      </c>
    </row>
    <row r="29" spans="1:13" ht="11.25" customHeight="1">
      <c r="A29" s="14" t="s">
        <v>686</v>
      </c>
      <c r="B29" s="931"/>
      <c r="C29" s="937">
        <v>667082.4</v>
      </c>
      <c r="D29" s="938">
        <v>0</v>
      </c>
      <c r="E29" s="939">
        <v>0</v>
      </c>
      <c r="F29" s="939">
        <v>58814.39</v>
      </c>
      <c r="G29" s="939">
        <v>423519.36</v>
      </c>
      <c r="H29" s="939">
        <v>0</v>
      </c>
      <c r="I29" s="16">
        <f t="shared" si="9"/>
        <v>423519.36</v>
      </c>
      <c r="J29" s="934" t="str">
        <f t="shared" si="3"/>
        <v/>
      </c>
      <c r="K29" s="940">
        <v>0</v>
      </c>
      <c r="L29" s="940">
        <f t="shared" si="4"/>
        <v>726033.18857142853</v>
      </c>
      <c r="M29" s="940">
        <f t="shared" si="5"/>
        <v>726033.18857142853</v>
      </c>
    </row>
    <row r="30" spans="1:13" ht="11.25" customHeight="1">
      <c r="A30" s="14" t="s">
        <v>691</v>
      </c>
      <c r="B30" s="931"/>
      <c r="C30" s="937">
        <v>0</v>
      </c>
      <c r="D30" s="938">
        <v>2500000</v>
      </c>
      <c r="E30" s="939">
        <v>2500000</v>
      </c>
      <c r="F30" s="939">
        <v>0</v>
      </c>
      <c r="G30" s="939">
        <v>0</v>
      </c>
      <c r="H30" s="939">
        <v>1458331</v>
      </c>
      <c r="I30" s="16">
        <f>G30-H30</f>
        <v>-1458331</v>
      </c>
      <c r="J30" s="934">
        <f t="shared" si="3"/>
        <v>-1</v>
      </c>
      <c r="K30" s="940">
        <v>2500000</v>
      </c>
      <c r="L30" s="940">
        <f t="shared" si="4"/>
        <v>0</v>
      </c>
      <c r="M30" s="940">
        <f t="shared" si="5"/>
        <v>-2500000</v>
      </c>
    </row>
    <row r="31" spans="1:13" ht="11.25" customHeight="1">
      <c r="A31" s="14" t="s">
        <v>692</v>
      </c>
      <c r="B31" s="931"/>
      <c r="C31" s="937">
        <v>0</v>
      </c>
      <c r="D31" s="938">
        <v>0</v>
      </c>
      <c r="E31" s="939">
        <v>0</v>
      </c>
      <c r="F31" s="939">
        <v>0</v>
      </c>
      <c r="G31" s="939">
        <v>0</v>
      </c>
      <c r="H31" s="939">
        <v>0</v>
      </c>
      <c r="I31" s="16">
        <f>G31-H31</f>
        <v>0</v>
      </c>
      <c r="J31" s="934" t="str">
        <f t="shared" si="3"/>
        <v/>
      </c>
      <c r="K31" s="940">
        <v>0</v>
      </c>
      <c r="L31" s="940">
        <f t="shared" si="4"/>
        <v>0</v>
      </c>
      <c r="M31" s="940">
        <f t="shared" si="5"/>
        <v>0</v>
      </c>
    </row>
    <row r="32" spans="1:13" ht="11.25" customHeight="1">
      <c r="A32" s="941" t="s">
        <v>693</v>
      </c>
      <c r="B32" s="931"/>
      <c r="C32" s="937">
        <v>0</v>
      </c>
      <c r="D32" s="938">
        <v>0</v>
      </c>
      <c r="E32" s="939">
        <v>0</v>
      </c>
      <c r="F32" s="939">
        <v>0</v>
      </c>
      <c r="G32" s="939">
        <v>0</v>
      </c>
      <c r="H32" s="939">
        <v>0</v>
      </c>
      <c r="I32" s="16">
        <f>G32-H32</f>
        <v>0</v>
      </c>
      <c r="J32" s="934" t="str">
        <f t="shared" si="3"/>
        <v/>
      </c>
      <c r="K32" s="940">
        <v>0</v>
      </c>
      <c r="L32" s="940">
        <f t="shared" si="4"/>
        <v>0</v>
      </c>
      <c r="M32" s="940">
        <f t="shared" si="5"/>
        <v>0</v>
      </c>
    </row>
    <row r="33" spans="1:15" ht="20.399999999999999">
      <c r="A33" s="942" t="s">
        <v>23</v>
      </c>
      <c r="B33" s="943"/>
      <c r="C33" s="944">
        <f>C6+C21+C32</f>
        <v>183757873.25</v>
      </c>
      <c r="D33" s="945">
        <f t="shared" ref="D33:I33" si="10">D6+D21+D32</f>
        <v>226345873</v>
      </c>
      <c r="E33" s="946">
        <f t="shared" si="10"/>
        <v>233756873</v>
      </c>
      <c r="F33" s="946">
        <f t="shared" si="10"/>
        <v>18523909.329999998</v>
      </c>
      <c r="G33" s="946">
        <f t="shared" si="10"/>
        <v>129625389.00000001</v>
      </c>
      <c r="H33" s="946">
        <f t="shared" si="10"/>
        <v>138234048</v>
      </c>
      <c r="I33" s="946">
        <f t="shared" si="10"/>
        <v>-8608658.9999999851</v>
      </c>
      <c r="J33" s="947">
        <f t="shared" si="3"/>
        <v>-6.2275966916631023E-2</v>
      </c>
      <c r="K33" s="948">
        <f>K6+K21+K32</f>
        <v>226345873</v>
      </c>
      <c r="L33" s="948">
        <f>L6+L21+L32</f>
        <v>222214952.5714286</v>
      </c>
      <c r="M33" s="948">
        <f>M6+M21+M32</f>
        <v>-11541920.428571425</v>
      </c>
    </row>
    <row r="34" spans="1:15" ht="11.25" customHeight="1">
      <c r="A34" s="10" t="s">
        <v>24</v>
      </c>
      <c r="B34" s="949"/>
      <c r="C34" s="950"/>
      <c r="D34" s="18"/>
      <c r="E34" s="16"/>
      <c r="F34" s="16"/>
      <c r="G34" s="16"/>
      <c r="H34" s="16"/>
      <c r="I34" s="16"/>
      <c r="J34" s="16"/>
      <c r="K34" s="19"/>
      <c r="L34" s="19"/>
      <c r="M34" s="19"/>
    </row>
    <row r="35" spans="1:15" s="40" customFormat="1">
      <c r="A35" s="14" t="s">
        <v>25</v>
      </c>
      <c r="B35" s="931"/>
      <c r="C35" s="937">
        <v>80916613.219999999</v>
      </c>
      <c r="D35" s="938">
        <v>79932862</v>
      </c>
      <c r="E35" s="939">
        <v>92851601</v>
      </c>
      <c r="F35" s="939">
        <v>7947756.1100000003</v>
      </c>
      <c r="G35" s="939">
        <v>56538226.43</v>
      </c>
      <c r="H35" s="939">
        <v>46557119</v>
      </c>
      <c r="I35" s="16">
        <f t="shared" ref="I35:I48" si="11">G35-H35</f>
        <v>9981107.4299999997</v>
      </c>
      <c r="J35" s="934">
        <f t="shared" ref="J35:J51" si="12">IFERROR(IF(I35=0,"",I35/H35),"")</f>
        <v>0.21438412952485311</v>
      </c>
      <c r="K35" s="940">
        <v>79812862</v>
      </c>
      <c r="L35" s="940">
        <f t="shared" ref="L35:L47" si="13">G35/7*12</f>
        <v>96922673.879999995</v>
      </c>
      <c r="M35" s="940">
        <f t="shared" ref="M35:M47" si="14">L35-E35</f>
        <v>4071072.8799999952</v>
      </c>
    </row>
    <row r="36" spans="1:15">
      <c r="A36" s="14" t="s">
        <v>26</v>
      </c>
      <c r="B36" s="931"/>
      <c r="C36" s="937">
        <v>3273323.64</v>
      </c>
      <c r="D36" s="938">
        <v>3276030</v>
      </c>
      <c r="E36" s="939">
        <v>3866030</v>
      </c>
      <c r="F36" s="939">
        <v>307612.96999999997</v>
      </c>
      <c r="G36" s="939">
        <v>2349626.14</v>
      </c>
      <c r="H36" s="939">
        <v>1911007</v>
      </c>
      <c r="I36" s="16">
        <f t="shared" si="11"/>
        <v>438619.14000000013</v>
      </c>
      <c r="J36" s="934">
        <f t="shared" si="12"/>
        <v>0.22952251875581833</v>
      </c>
      <c r="K36" s="940">
        <v>3276030</v>
      </c>
      <c r="L36" s="940">
        <f t="shared" si="13"/>
        <v>4027930.5257142861</v>
      </c>
      <c r="M36" s="940">
        <f t="shared" si="14"/>
        <v>161900.52571428614</v>
      </c>
    </row>
    <row r="37" spans="1:15">
      <c r="A37" s="14" t="s">
        <v>694</v>
      </c>
      <c r="B37" s="931"/>
      <c r="C37" s="937">
        <v>55312841.210000001</v>
      </c>
      <c r="D37" s="938">
        <v>56045160</v>
      </c>
      <c r="E37" s="939">
        <v>56045160</v>
      </c>
      <c r="F37" s="939">
        <v>0</v>
      </c>
      <c r="G37" s="939">
        <v>42635368.479999997</v>
      </c>
      <c r="H37" s="939">
        <v>32693010</v>
      </c>
      <c r="I37" s="16">
        <f>G37-H37</f>
        <v>9942358.4799999967</v>
      </c>
      <c r="J37" s="934">
        <f t="shared" si="12"/>
        <v>0.30411266750904847</v>
      </c>
      <c r="K37" s="940">
        <v>56045160</v>
      </c>
      <c r="L37" s="940">
        <f t="shared" si="13"/>
        <v>73089203.108571425</v>
      </c>
      <c r="M37" s="940">
        <f t="shared" si="14"/>
        <v>17044043.108571425</v>
      </c>
    </row>
    <row r="38" spans="1:15">
      <c r="A38" s="14" t="s">
        <v>695</v>
      </c>
      <c r="B38" s="931"/>
      <c r="C38" s="937">
        <v>2906728.93</v>
      </c>
      <c r="D38" s="938">
        <v>8946000</v>
      </c>
      <c r="E38" s="939">
        <v>8113000</v>
      </c>
      <c r="F38" s="939">
        <v>423776.16</v>
      </c>
      <c r="G38" s="939">
        <v>2738466.5</v>
      </c>
      <c r="H38" s="939">
        <v>5063877</v>
      </c>
      <c r="I38" s="16">
        <f>G38-H38</f>
        <v>-2325410.5</v>
      </c>
      <c r="J38" s="934">
        <f t="shared" si="12"/>
        <v>-0.45921543907958268</v>
      </c>
      <c r="K38" s="940">
        <v>8681000</v>
      </c>
      <c r="L38" s="940">
        <f t="shared" si="13"/>
        <v>4694514</v>
      </c>
      <c r="M38" s="940">
        <f t="shared" si="14"/>
        <v>-3418486</v>
      </c>
    </row>
    <row r="39" spans="1:15" ht="12.75" customHeight="1">
      <c r="A39" s="14" t="s">
        <v>27</v>
      </c>
      <c r="B39" s="931"/>
      <c r="C39" s="937">
        <v>29561404.809999999</v>
      </c>
      <c r="D39" s="938">
        <v>16690503</v>
      </c>
      <c r="E39" s="939">
        <v>16690503</v>
      </c>
      <c r="F39" s="939">
        <v>0</v>
      </c>
      <c r="G39" s="939">
        <v>0</v>
      </c>
      <c r="H39" s="939">
        <v>9736104</v>
      </c>
      <c r="I39" s="16">
        <f t="shared" si="11"/>
        <v>-9736104</v>
      </c>
      <c r="J39" s="934">
        <f t="shared" si="12"/>
        <v>-1</v>
      </c>
      <c r="K39" s="940">
        <v>16690503</v>
      </c>
      <c r="L39" s="940">
        <f>K39</f>
        <v>16690503</v>
      </c>
      <c r="M39" s="940">
        <f t="shared" si="14"/>
        <v>0</v>
      </c>
    </row>
    <row r="40" spans="1:15" ht="12.75" customHeight="1">
      <c r="A40" s="14" t="s">
        <v>696</v>
      </c>
      <c r="B40" s="931"/>
      <c r="C40" s="937">
        <v>13957416.720000001</v>
      </c>
      <c r="D40" s="938">
        <v>11761920</v>
      </c>
      <c r="E40" s="939">
        <v>11884920</v>
      </c>
      <c r="F40" s="939">
        <v>979779.99</v>
      </c>
      <c r="G40" s="939">
        <v>6860739.9900000002</v>
      </c>
      <c r="H40" s="939">
        <v>6861078</v>
      </c>
      <c r="I40" s="16">
        <f t="shared" si="11"/>
        <v>-338.00999999977648</v>
      </c>
      <c r="J40" s="934">
        <f t="shared" si="12"/>
        <v>-4.9264853132376059E-5</v>
      </c>
      <c r="K40" s="940">
        <v>11761920</v>
      </c>
      <c r="L40" s="940">
        <f t="shared" si="13"/>
        <v>11761268.554285714</v>
      </c>
      <c r="M40" s="940">
        <f t="shared" si="14"/>
        <v>-123651.4457142856</v>
      </c>
      <c r="O40" s="951">
        <v>1200000</v>
      </c>
    </row>
    <row r="41" spans="1:15" ht="12.75" customHeight="1">
      <c r="A41" s="14" t="s">
        <v>63</v>
      </c>
      <c r="B41" s="931"/>
      <c r="C41" s="937">
        <v>6069172.6699999999</v>
      </c>
      <c r="D41" s="938">
        <v>8000000</v>
      </c>
      <c r="E41" s="939">
        <v>1100000</v>
      </c>
      <c r="F41" s="939">
        <v>554.04</v>
      </c>
      <c r="G41" s="939">
        <v>496906.42</v>
      </c>
      <c r="H41" s="939">
        <v>4666662</v>
      </c>
      <c r="I41" s="16">
        <f t="shared" si="11"/>
        <v>-4169755.58</v>
      </c>
      <c r="J41" s="934">
        <f t="shared" si="12"/>
        <v>-0.8935199463770892</v>
      </c>
      <c r="K41" s="940">
        <v>8000000</v>
      </c>
      <c r="L41" s="940">
        <f t="shared" si="13"/>
        <v>851839.57714285725</v>
      </c>
      <c r="M41" s="940">
        <f t="shared" si="14"/>
        <v>-248160.42285714275</v>
      </c>
      <c r="O41" s="908">
        <f>O40*7</f>
        <v>8400000</v>
      </c>
    </row>
    <row r="42" spans="1:15" ht="12.75" customHeight="1">
      <c r="A42" s="14" t="s">
        <v>32</v>
      </c>
      <c r="B42" s="931"/>
      <c r="C42" s="937">
        <v>19895920.420000002</v>
      </c>
      <c r="D42" s="938">
        <v>33727000</v>
      </c>
      <c r="E42" s="939">
        <v>40017000</v>
      </c>
      <c r="F42" s="939">
        <v>324356.14</v>
      </c>
      <c r="G42" s="939">
        <v>3534197.2</v>
      </c>
      <c r="H42" s="939">
        <v>19852321</v>
      </c>
      <c r="I42" s="16">
        <f t="shared" si="11"/>
        <v>-16318123.800000001</v>
      </c>
      <c r="J42" s="934">
        <f t="shared" si="12"/>
        <v>-0.82197561685608456</v>
      </c>
      <c r="K42" s="940">
        <v>34047000</v>
      </c>
      <c r="L42" s="940">
        <f t="shared" si="13"/>
        <v>6058623.771428572</v>
      </c>
      <c r="M42" s="940">
        <f t="shared" si="14"/>
        <v>-33958376.22857143</v>
      </c>
    </row>
    <row r="43" spans="1:15" ht="12.75" customHeight="1">
      <c r="A43" s="14" t="s">
        <v>20</v>
      </c>
      <c r="B43" s="931"/>
      <c r="C43" s="937">
        <v>255000</v>
      </c>
      <c r="D43" s="938">
        <v>920000</v>
      </c>
      <c r="E43" s="939">
        <v>400000</v>
      </c>
      <c r="F43" s="939">
        <v>0</v>
      </c>
      <c r="G43" s="939">
        <v>123493.61</v>
      </c>
      <c r="H43" s="939">
        <v>536662</v>
      </c>
      <c r="I43" s="16">
        <f t="shared" si="11"/>
        <v>-413168.39</v>
      </c>
      <c r="J43" s="934">
        <f t="shared" si="12"/>
        <v>-0.76988568223574616</v>
      </c>
      <c r="K43" s="940">
        <v>920000</v>
      </c>
      <c r="L43" s="940">
        <f t="shared" si="13"/>
        <v>211703.33142857143</v>
      </c>
      <c r="M43" s="940">
        <f t="shared" si="14"/>
        <v>-188296.66857142857</v>
      </c>
    </row>
    <row r="44" spans="1:15" ht="12.75" customHeight="1">
      <c r="A44" s="14" t="s">
        <v>697</v>
      </c>
      <c r="B44" s="931"/>
      <c r="C44" s="937">
        <v>46204.69</v>
      </c>
      <c r="D44" s="938">
        <v>0</v>
      </c>
      <c r="E44" s="939">
        <v>0</v>
      </c>
      <c r="F44" s="939">
        <v>0</v>
      </c>
      <c r="G44" s="939">
        <v>16765136.189999999</v>
      </c>
      <c r="H44" s="939">
        <v>0</v>
      </c>
      <c r="I44" s="16">
        <f t="shared" si="11"/>
        <v>16765136.189999999</v>
      </c>
      <c r="J44" s="934" t="str">
        <f t="shared" si="12"/>
        <v/>
      </c>
      <c r="K44" s="940">
        <v>0</v>
      </c>
      <c r="L44" s="940">
        <f>G44</f>
        <v>16765136.189999999</v>
      </c>
      <c r="M44" s="940">
        <f t="shared" si="14"/>
        <v>16765136.189999999</v>
      </c>
    </row>
    <row r="45" spans="1:15" ht="12.75" customHeight="1">
      <c r="A45" s="14" t="s">
        <v>698</v>
      </c>
      <c r="B45" s="931"/>
      <c r="C45" s="937">
        <v>13742793.890000001</v>
      </c>
      <c r="D45" s="938">
        <v>22155516</v>
      </c>
      <c r="E45" s="939">
        <v>22913516</v>
      </c>
      <c r="F45" s="939">
        <v>716499.28</v>
      </c>
      <c r="G45" s="939">
        <v>6471572.6100000003</v>
      </c>
      <c r="H45" s="939">
        <v>12986841</v>
      </c>
      <c r="I45" s="16">
        <f t="shared" si="11"/>
        <v>-6515268.3899999997</v>
      </c>
      <c r="J45" s="934">
        <f t="shared" si="12"/>
        <v>-0.50168230980882877</v>
      </c>
      <c r="K45" s="940">
        <v>22220516</v>
      </c>
      <c r="L45" s="940">
        <f t="shared" si="13"/>
        <v>11094124.474285714</v>
      </c>
      <c r="M45" s="940">
        <f t="shared" si="14"/>
        <v>-11819391.525714286</v>
      </c>
    </row>
    <row r="46" spans="1:15" ht="12.75" customHeight="1">
      <c r="A46" s="14" t="s">
        <v>699</v>
      </c>
      <c r="B46" s="931"/>
      <c r="C46" s="937">
        <v>-609197.31000000006</v>
      </c>
      <c r="D46" s="938">
        <v>0</v>
      </c>
      <c r="E46" s="939">
        <v>0</v>
      </c>
      <c r="F46" s="939">
        <v>0</v>
      </c>
      <c r="G46" s="939">
        <v>0</v>
      </c>
      <c r="H46" s="939">
        <v>0</v>
      </c>
      <c r="I46" s="16">
        <f t="shared" si="11"/>
        <v>0</v>
      </c>
      <c r="J46" s="934" t="str">
        <f t="shared" si="12"/>
        <v/>
      </c>
      <c r="K46" s="940">
        <v>0</v>
      </c>
      <c r="L46" s="940">
        <f t="shared" si="13"/>
        <v>0</v>
      </c>
      <c r="M46" s="940">
        <f t="shared" si="14"/>
        <v>0</v>
      </c>
    </row>
    <row r="47" spans="1:15" ht="12.75" customHeight="1">
      <c r="A47" s="14" t="s">
        <v>700</v>
      </c>
      <c r="B47" s="931"/>
      <c r="C47" s="937">
        <v>866461.83</v>
      </c>
      <c r="D47" s="938">
        <v>0</v>
      </c>
      <c r="E47" s="939">
        <v>0</v>
      </c>
      <c r="F47" s="939">
        <v>0</v>
      </c>
      <c r="G47" s="939">
        <v>0</v>
      </c>
      <c r="H47" s="939">
        <v>0</v>
      </c>
      <c r="I47" s="16">
        <f t="shared" si="11"/>
        <v>0</v>
      </c>
      <c r="J47" s="934" t="str">
        <f t="shared" si="12"/>
        <v/>
      </c>
      <c r="K47" s="940">
        <v>0</v>
      </c>
      <c r="L47" s="940">
        <f t="shared" si="13"/>
        <v>0</v>
      </c>
      <c r="M47" s="940">
        <f t="shared" si="14"/>
        <v>0</v>
      </c>
    </row>
    <row r="48" spans="1:15" ht="12.75" customHeight="1">
      <c r="A48" s="87" t="s">
        <v>35</v>
      </c>
      <c r="B48" s="952"/>
      <c r="C48" s="953">
        <f t="shared" ref="C48:H48" si="15">SUM(C35:C47)</f>
        <v>226194684.72</v>
      </c>
      <c r="D48" s="88">
        <f t="shared" si="15"/>
        <v>241454991</v>
      </c>
      <c r="E48" s="71">
        <f t="shared" si="15"/>
        <v>253881730</v>
      </c>
      <c r="F48" s="71">
        <f t="shared" si="15"/>
        <v>10700334.689999999</v>
      </c>
      <c r="G48" s="71">
        <f t="shared" si="15"/>
        <v>138513733.56999999</v>
      </c>
      <c r="H48" s="71">
        <f t="shared" si="15"/>
        <v>140864681</v>
      </c>
      <c r="I48" s="71">
        <f t="shared" si="11"/>
        <v>-2350947.4300000072</v>
      </c>
      <c r="J48" s="954">
        <f t="shared" si="12"/>
        <v>-1.6689403002304086E-2</v>
      </c>
      <c r="K48" s="90">
        <f>SUM(K35:K47)</f>
        <v>241454991</v>
      </c>
      <c r="L48" s="90">
        <f t="shared" ref="L48:M48" si="16">SUM(L35:L47)</f>
        <v>242167520.41285715</v>
      </c>
      <c r="M48" s="90">
        <f t="shared" si="16"/>
        <v>-11714209.58714287</v>
      </c>
      <c r="O48" s="20">
        <f>L33-L48</f>
        <v>-19952567.841428548</v>
      </c>
    </row>
    <row r="49" spans="1:240" ht="12.75" customHeight="1">
      <c r="A49" s="54" t="s">
        <v>36</v>
      </c>
      <c r="B49" s="931"/>
      <c r="C49" s="955">
        <f t="shared" ref="C49:I49" si="17">C33-C48</f>
        <v>-42436811.469999999</v>
      </c>
      <c r="D49" s="58">
        <f t="shared" si="17"/>
        <v>-15109118</v>
      </c>
      <c r="E49" s="55">
        <f t="shared" si="17"/>
        <v>-20124857</v>
      </c>
      <c r="F49" s="55">
        <f t="shared" si="17"/>
        <v>7823574.6399999987</v>
      </c>
      <c r="G49" s="55">
        <f t="shared" si="17"/>
        <v>-8888344.5699999779</v>
      </c>
      <c r="H49" s="55">
        <f t="shared" si="17"/>
        <v>-2630633</v>
      </c>
      <c r="I49" s="55">
        <f t="shared" si="17"/>
        <v>-6257711.5699999779</v>
      </c>
      <c r="J49" s="55">
        <f t="shared" si="12"/>
        <v>2.3787854748267727</v>
      </c>
      <c r="K49" s="122">
        <f>K33-K48</f>
        <v>-15109118</v>
      </c>
      <c r="L49" s="122"/>
      <c r="M49" s="122"/>
    </row>
    <row r="50" spans="1:240">
      <c r="A50" s="59" t="s">
        <v>701</v>
      </c>
      <c r="B50" s="956"/>
      <c r="C50" s="957">
        <v>8426013.3900000006</v>
      </c>
      <c r="D50" s="958">
        <v>15804350</v>
      </c>
      <c r="E50" s="959">
        <v>18054149</v>
      </c>
      <c r="F50" s="959">
        <v>0</v>
      </c>
      <c r="G50" s="959">
        <v>7182793.9500000002</v>
      </c>
      <c r="H50" s="959">
        <v>11853260</v>
      </c>
      <c r="I50" s="960">
        <f>G50-H50</f>
        <v>-4670466.05</v>
      </c>
      <c r="J50" s="961">
        <f t="shared" si="12"/>
        <v>-0.39402375802100009</v>
      </c>
      <c r="K50" s="962">
        <v>15804350</v>
      </c>
      <c r="L50" s="962"/>
      <c r="M50" s="962"/>
    </row>
    <row r="51" spans="1:240" ht="12.75" customHeight="1">
      <c r="A51" s="14" t="s">
        <v>702</v>
      </c>
      <c r="B51" s="931"/>
      <c r="C51" s="963">
        <v>0</v>
      </c>
      <c r="D51" s="964">
        <v>0</v>
      </c>
      <c r="E51" s="965">
        <v>0</v>
      </c>
      <c r="F51" s="965">
        <v>0</v>
      </c>
      <c r="G51" s="965">
        <v>0</v>
      </c>
      <c r="H51" s="965">
        <v>0</v>
      </c>
      <c r="I51" s="16">
        <f>G51-H51</f>
        <v>0</v>
      </c>
      <c r="J51" s="55" t="str">
        <f t="shared" si="12"/>
        <v/>
      </c>
      <c r="K51" s="966">
        <v>0</v>
      </c>
      <c r="L51" s="966"/>
      <c r="M51" s="966"/>
    </row>
    <row r="52" spans="1:240">
      <c r="A52" s="967" t="s">
        <v>703</v>
      </c>
      <c r="B52" s="968"/>
      <c r="C52" s="969">
        <f t="shared" ref="C52:H52" si="18">C49+SUM(C50:C51)</f>
        <v>-34010798.079999998</v>
      </c>
      <c r="D52" s="970">
        <f t="shared" si="18"/>
        <v>695232</v>
      </c>
      <c r="E52" s="971">
        <f t="shared" si="18"/>
        <v>-2070708</v>
      </c>
      <c r="F52" s="971">
        <f t="shared" si="18"/>
        <v>7823574.6399999987</v>
      </c>
      <c r="G52" s="971">
        <f t="shared" si="18"/>
        <v>-1705550.6199999778</v>
      </c>
      <c r="H52" s="971">
        <f t="shared" si="18"/>
        <v>9222627</v>
      </c>
      <c r="I52" s="972"/>
      <c r="J52" s="972"/>
      <c r="K52" s="973">
        <f>K49+SUM(K50:K51)</f>
        <v>695232</v>
      </c>
      <c r="L52" s="973">
        <f t="shared" ref="L52:M52" si="19">L49+SUM(L50:L51)</f>
        <v>0</v>
      </c>
      <c r="M52" s="973">
        <f t="shared" si="19"/>
        <v>0</v>
      </c>
    </row>
    <row r="53" spans="1:240" s="40" customFormat="1">
      <c r="A53" s="14" t="s">
        <v>704</v>
      </c>
      <c r="B53" s="931"/>
      <c r="C53" s="963">
        <v>0</v>
      </c>
      <c r="D53" s="964">
        <v>0</v>
      </c>
      <c r="E53" s="965">
        <v>0</v>
      </c>
      <c r="F53" s="965">
        <v>0</v>
      </c>
      <c r="G53" s="965">
        <v>0</v>
      </c>
      <c r="H53" s="965">
        <v>0</v>
      </c>
      <c r="I53" s="116">
        <f>G53-H53</f>
        <v>0</v>
      </c>
      <c r="J53" s="116" t="str">
        <f>IF(I53=0,"",I53/H53)</f>
        <v/>
      </c>
      <c r="K53" s="966">
        <v>0</v>
      </c>
      <c r="L53" s="966"/>
      <c r="M53" s="966"/>
    </row>
    <row r="54" spans="1:240" ht="12.75" customHeight="1">
      <c r="A54" s="54" t="s">
        <v>705</v>
      </c>
      <c r="B54" s="931"/>
      <c r="C54" s="955">
        <f t="shared" ref="C54:H54" si="20">C52-C53</f>
        <v>-34010798.079999998</v>
      </c>
      <c r="D54" s="58">
        <f t="shared" si="20"/>
        <v>695232</v>
      </c>
      <c r="E54" s="55">
        <f t="shared" si="20"/>
        <v>-2070708</v>
      </c>
      <c r="F54" s="55">
        <f t="shared" si="20"/>
        <v>7823574.6399999987</v>
      </c>
      <c r="G54" s="55">
        <f t="shared" si="20"/>
        <v>-1705550.6199999778</v>
      </c>
      <c r="H54" s="55">
        <f t="shared" si="20"/>
        <v>9222627</v>
      </c>
      <c r="I54" s="974"/>
      <c r="J54" s="974"/>
      <c r="K54" s="122">
        <f>K52-K53</f>
        <v>695232</v>
      </c>
      <c r="L54" s="122"/>
      <c r="M54" s="122"/>
    </row>
    <row r="55" spans="1:240">
      <c r="A55" s="14" t="s">
        <v>706</v>
      </c>
      <c r="B55" s="931"/>
      <c r="C55" s="937">
        <v>0</v>
      </c>
      <c r="D55" s="938">
        <v>0</v>
      </c>
      <c r="E55" s="939">
        <v>0</v>
      </c>
      <c r="F55" s="939">
        <v>0</v>
      </c>
      <c r="G55" s="939">
        <v>0</v>
      </c>
      <c r="H55" s="939">
        <v>0</v>
      </c>
      <c r="I55" s="975"/>
      <c r="J55" s="975"/>
      <c r="K55" s="940">
        <v>0</v>
      </c>
      <c r="L55" s="940"/>
      <c r="M55" s="940"/>
    </row>
    <row r="56" spans="1:240" ht="12.75" customHeight="1">
      <c r="A56" s="14" t="s">
        <v>707</v>
      </c>
      <c r="B56" s="931"/>
      <c r="C56" s="937">
        <v>0</v>
      </c>
      <c r="D56" s="938">
        <v>0</v>
      </c>
      <c r="E56" s="939">
        <v>0</v>
      </c>
      <c r="F56" s="939">
        <v>0</v>
      </c>
      <c r="G56" s="939">
        <v>0</v>
      </c>
      <c r="H56" s="939">
        <v>0</v>
      </c>
      <c r="I56" s="975"/>
      <c r="J56" s="975"/>
      <c r="K56" s="940">
        <v>0</v>
      </c>
      <c r="L56" s="940"/>
      <c r="M56" s="940"/>
    </row>
    <row r="57" spans="1:240" ht="12.75" customHeight="1">
      <c r="A57" s="976" t="s">
        <v>708</v>
      </c>
      <c r="B57" s="15"/>
      <c r="C57" s="977">
        <f t="shared" ref="C57:H57" si="21">SUM(C54:C56)</f>
        <v>-34010798.079999998</v>
      </c>
      <c r="D57" s="978">
        <f t="shared" si="21"/>
        <v>695232</v>
      </c>
      <c r="E57" s="979">
        <f t="shared" si="21"/>
        <v>-2070708</v>
      </c>
      <c r="F57" s="979">
        <f t="shared" si="21"/>
        <v>7823574.6399999987</v>
      </c>
      <c r="G57" s="979">
        <f t="shared" si="21"/>
        <v>-1705550.6199999778</v>
      </c>
      <c r="H57" s="979">
        <f t="shared" si="21"/>
        <v>9222627</v>
      </c>
      <c r="I57" s="975"/>
      <c r="J57" s="975"/>
      <c r="K57" s="977">
        <f>SUM(K54:K56)</f>
        <v>695232</v>
      </c>
      <c r="L57" s="977">
        <f t="shared" ref="L57:M57" si="22">SUM(L54:L56)</f>
        <v>0</v>
      </c>
      <c r="M57" s="977">
        <f t="shared" si="22"/>
        <v>0</v>
      </c>
    </row>
    <row r="58" spans="1:240" ht="12.75" customHeight="1">
      <c r="A58" s="64" t="s">
        <v>709</v>
      </c>
      <c r="B58" s="931"/>
      <c r="C58" s="937">
        <v>0</v>
      </c>
      <c r="D58" s="938">
        <v>0</v>
      </c>
      <c r="E58" s="939">
        <v>0</v>
      </c>
      <c r="F58" s="939">
        <v>0</v>
      </c>
      <c r="G58" s="939">
        <v>0</v>
      </c>
      <c r="H58" s="939">
        <v>0</v>
      </c>
      <c r="I58" s="975"/>
      <c r="J58" s="975"/>
      <c r="K58" s="940">
        <v>0</v>
      </c>
      <c r="L58" s="940"/>
      <c r="M58" s="940"/>
    </row>
    <row r="59" spans="1:240" ht="12.75" customHeight="1">
      <c r="A59" s="980" t="s">
        <v>710</v>
      </c>
      <c r="B59" s="981"/>
      <c r="C59" s="963">
        <v>0</v>
      </c>
      <c r="D59" s="964">
        <v>0</v>
      </c>
      <c r="E59" s="965">
        <v>0</v>
      </c>
      <c r="F59" s="965">
        <v>0</v>
      </c>
      <c r="G59" s="965">
        <v>0</v>
      </c>
      <c r="H59" s="965">
        <v>0</v>
      </c>
      <c r="I59" s="982"/>
      <c r="J59" s="982"/>
      <c r="K59" s="966">
        <v>0</v>
      </c>
      <c r="L59" s="966"/>
      <c r="M59" s="966"/>
    </row>
    <row r="60" spans="1:240" ht="12.75" customHeight="1">
      <c r="A60" s="983" t="s">
        <v>711</v>
      </c>
      <c r="B60" s="918"/>
      <c r="C60" s="984">
        <f t="shared" ref="C60:H60" si="23">SUM(C57:C59)</f>
        <v>-34010798.079999998</v>
      </c>
      <c r="D60" s="137">
        <f t="shared" si="23"/>
        <v>695232</v>
      </c>
      <c r="E60" s="133">
        <f t="shared" si="23"/>
        <v>-2070708</v>
      </c>
      <c r="F60" s="133">
        <f t="shared" si="23"/>
        <v>7823574.6399999987</v>
      </c>
      <c r="G60" s="133">
        <f t="shared" si="23"/>
        <v>-1705550.6199999778</v>
      </c>
      <c r="H60" s="133">
        <f t="shared" si="23"/>
        <v>9222627</v>
      </c>
      <c r="I60" s="985"/>
      <c r="J60" s="985"/>
      <c r="K60" s="138">
        <f t="shared" ref="K60:M60" si="24">SUM(K57:K59)</f>
        <v>695232</v>
      </c>
      <c r="L60" s="138">
        <f t="shared" si="24"/>
        <v>0</v>
      </c>
      <c r="M60" s="138">
        <f t="shared" si="24"/>
        <v>0</v>
      </c>
    </row>
    <row r="61" spans="1:240" ht="12.75" customHeight="1">
      <c r="A61" s="108" t="str">
        <f>head27a</f>
        <v>References</v>
      </c>
      <c r="B61" s="108"/>
      <c r="C61" s="108"/>
      <c r="D61" s="108"/>
      <c r="E61" s="108"/>
      <c r="F61" s="108"/>
      <c r="G61" s="108"/>
      <c r="H61" s="108"/>
      <c r="I61" s="108"/>
      <c r="J61" s="108"/>
      <c r="K61" s="108"/>
      <c r="L61" s="108"/>
      <c r="M61" s="108"/>
    </row>
    <row r="62" spans="1:240" ht="12.75" customHeight="1">
      <c r="A62" s="69" t="s">
        <v>712</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c r="EW62" s="108"/>
      <c r="EX62" s="108"/>
      <c r="EY62" s="108"/>
      <c r="EZ62" s="108"/>
      <c r="FA62" s="108"/>
      <c r="FB62" s="108"/>
      <c r="FC62" s="108"/>
      <c r="FD62" s="108"/>
      <c r="FE62" s="108"/>
      <c r="FF62" s="108"/>
      <c r="FG62" s="108"/>
      <c r="FH62" s="108"/>
      <c r="FI62" s="108"/>
      <c r="FJ62" s="108"/>
      <c r="FK62" s="108"/>
      <c r="FL62" s="108"/>
      <c r="FM62" s="108"/>
      <c r="FN62" s="108"/>
      <c r="FO62" s="108"/>
      <c r="FP62" s="108"/>
      <c r="FQ62" s="108"/>
      <c r="FR62" s="108"/>
      <c r="FS62" s="108"/>
      <c r="FT62" s="108"/>
      <c r="FU62" s="108"/>
      <c r="FV62" s="108"/>
      <c r="FW62" s="108"/>
      <c r="FX62" s="108"/>
      <c r="FY62" s="108"/>
      <c r="FZ62" s="108"/>
      <c r="GA62" s="108"/>
      <c r="GB62" s="108"/>
      <c r="GC62" s="108"/>
      <c r="GD62" s="108"/>
      <c r="GE62" s="108"/>
      <c r="GF62" s="108"/>
      <c r="GG62" s="108"/>
      <c r="GH62" s="108"/>
      <c r="GI62" s="108"/>
      <c r="GJ62" s="108"/>
      <c r="GK62" s="108"/>
      <c r="GL62" s="108"/>
      <c r="GM62" s="108"/>
      <c r="GN62" s="108"/>
      <c r="GO62" s="108"/>
      <c r="GP62" s="108"/>
      <c r="GQ62" s="108"/>
      <c r="GR62" s="108"/>
      <c r="GS62" s="108"/>
      <c r="GT62" s="108"/>
      <c r="GU62" s="108"/>
      <c r="GV62" s="108"/>
      <c r="GW62" s="108"/>
      <c r="GX62" s="108"/>
      <c r="GY62" s="108"/>
      <c r="GZ62" s="108"/>
      <c r="HA62" s="108"/>
      <c r="HB62" s="108"/>
      <c r="HC62" s="108"/>
      <c r="HD62" s="108"/>
      <c r="HE62" s="108"/>
      <c r="HF62" s="108"/>
      <c r="HG62" s="108"/>
      <c r="HH62" s="108"/>
      <c r="HI62" s="108"/>
      <c r="HJ62" s="108"/>
      <c r="HK62" s="108"/>
      <c r="HL62" s="108"/>
      <c r="HM62" s="108"/>
      <c r="HN62" s="108"/>
      <c r="HO62" s="108"/>
      <c r="HP62" s="108"/>
      <c r="HQ62" s="108"/>
      <c r="HR62" s="108"/>
      <c r="HS62" s="108"/>
      <c r="HT62" s="108"/>
      <c r="HU62" s="108"/>
      <c r="HV62" s="108"/>
      <c r="HW62" s="108"/>
      <c r="HX62" s="108"/>
      <c r="HY62" s="108"/>
      <c r="HZ62" s="108"/>
      <c r="IA62" s="108"/>
      <c r="IB62" s="108"/>
      <c r="IC62" s="108"/>
      <c r="ID62" s="108"/>
      <c r="IE62" s="108"/>
      <c r="IF62" s="108"/>
    </row>
    <row r="63" spans="1:240" ht="12.75" customHeight="1">
      <c r="C63" s="68"/>
      <c r="D63" s="68"/>
      <c r="E63" s="68"/>
      <c r="F63" s="68"/>
      <c r="G63" s="68"/>
      <c r="H63" s="68"/>
      <c r="I63" s="68"/>
      <c r="J63" s="68"/>
      <c r="K63" s="68"/>
      <c r="L63" s="68"/>
      <c r="M63" s="6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row>
    <row r="64" spans="1:240" ht="11.25" customHeight="1">
      <c r="A64" s="69"/>
      <c r="C64" s="68"/>
      <c r="D64" s="68"/>
      <c r="E64" s="68"/>
      <c r="F64" s="68"/>
      <c r="G64" s="68"/>
      <c r="H64" s="68"/>
      <c r="I64" s="68"/>
      <c r="J64" s="68"/>
      <c r="K64" s="68"/>
      <c r="L64" s="68"/>
      <c r="M64" s="68"/>
    </row>
    <row r="65" spans="1:13" ht="11.25" hidden="1" customHeight="1">
      <c r="A65" s="986" t="s">
        <v>713</v>
      </c>
      <c r="C65" s="68">
        <f t="shared" ref="C65:I65" si="25">C33+SUM(C50:C51)</f>
        <v>192183886.63999999</v>
      </c>
      <c r="D65" s="68">
        <f t="shared" si="25"/>
        <v>242150223</v>
      </c>
      <c r="E65" s="68">
        <f t="shared" si="25"/>
        <v>251811022</v>
      </c>
      <c r="F65" s="68">
        <f t="shared" si="25"/>
        <v>18523909.329999998</v>
      </c>
      <c r="G65" s="68">
        <f t="shared" si="25"/>
        <v>136808182.95000002</v>
      </c>
      <c r="H65" s="68">
        <f t="shared" si="25"/>
        <v>150087308</v>
      </c>
      <c r="I65" s="68">
        <f t="shared" si="25"/>
        <v>-13279125.049999986</v>
      </c>
      <c r="J65" s="68"/>
      <c r="K65" s="68">
        <f>K33+SUM(K50:K51)</f>
        <v>242150223</v>
      </c>
      <c r="L65" s="68"/>
      <c r="M65" s="68"/>
    </row>
    <row r="66" spans="1:13" ht="11.25" hidden="1" customHeight="1">
      <c r="A66" s="987"/>
      <c r="C66" s="68"/>
      <c r="D66" s="68"/>
      <c r="E66" s="68"/>
      <c r="F66" s="68"/>
      <c r="G66" s="68"/>
      <c r="H66" s="68"/>
      <c r="I66" s="68"/>
      <c r="J66" s="68"/>
      <c r="K66" s="68"/>
      <c r="L66" s="68"/>
      <c r="M66" s="68"/>
    </row>
    <row r="67" spans="1:13" ht="11.25" hidden="1" customHeight="1">
      <c r="A67" s="988" t="s">
        <v>714</v>
      </c>
      <c r="C67" s="989">
        <f>ROUND(C60-C58-'[4]C2-FinPerf SC'!C50,0)</f>
        <v>0</v>
      </c>
      <c r="D67" s="989">
        <f>ROUND(D60-D58-'[4]C2-FinPerf SC'!D50,0)</f>
        <v>0</v>
      </c>
      <c r="E67" s="989">
        <f>ROUND(E60-E58-'[4]C2-FinPerf SC'!E50,0)</f>
        <v>-2765940</v>
      </c>
      <c r="F67" s="989">
        <f>ROUND(F60-F58-'[4]C2-FinPerf SC'!F50,0)</f>
        <v>0</v>
      </c>
      <c r="G67" s="989">
        <f>ROUND(G60-G58-'[4]C2-FinPerf SC'!G50,0)</f>
        <v>0</v>
      </c>
      <c r="H67" s="989">
        <f>ROUND(H60-H58-'[4]C2-FinPerf SC'!H50,0)</f>
        <v>0</v>
      </c>
      <c r="I67" s="989"/>
      <c r="J67" s="989"/>
      <c r="K67" s="989">
        <f>ROUND(K60-K58-'[4]C2-FinPerf SC'!K50,0)</f>
        <v>0</v>
      </c>
      <c r="L67" s="989"/>
      <c r="M67" s="989"/>
    </row>
    <row r="68" spans="1:13" ht="11.25" hidden="1" customHeight="1">
      <c r="A68" s="988" t="s">
        <v>715</v>
      </c>
      <c r="C68" s="989">
        <f>ROUND(C60-C58-'[4]C3-FinPerf V'!C40,0)</f>
        <v>0</v>
      </c>
      <c r="D68" s="989">
        <f>ROUND(D60-D58-'[4]C3-FinPerf V'!D40,0)</f>
        <v>0</v>
      </c>
      <c r="E68" s="989">
        <f>ROUND(E60-E58-'[4]C3-FinPerf V'!E40,0)</f>
        <v>-2765940</v>
      </c>
      <c r="F68" s="989">
        <f>ROUND(F60-F58-'[4]C3-FinPerf V'!F40,0)</f>
        <v>0</v>
      </c>
      <c r="G68" s="989">
        <f>ROUND(G60-G58-'[4]C3-FinPerf V'!G40,0)</f>
        <v>0</v>
      </c>
      <c r="H68" s="989">
        <f>ROUND(H60-H58-'[4]C3-FinPerf V'!H40,0)</f>
        <v>0</v>
      </c>
      <c r="I68" s="989"/>
      <c r="J68" s="989"/>
      <c r="K68" s="989">
        <f>ROUND(K60-K58-'[4]C3-FinPerf V'!K40,0)</f>
        <v>0</v>
      </c>
      <c r="L68" s="989"/>
      <c r="M68" s="989"/>
    </row>
    <row r="69" spans="1:13" ht="11.25" hidden="1" customHeight="1">
      <c r="A69" s="990" t="s">
        <v>716</v>
      </c>
      <c r="B69" s="140"/>
      <c r="C69" s="989">
        <f>ROUND(C60-C58-'[4]C6-FinPos'!C48,0)</f>
        <v>-207198689</v>
      </c>
      <c r="D69" s="989">
        <f>ROUND(D60-D58-'[4]C6-FinPos'!D48,0)</f>
        <v>-2171886</v>
      </c>
      <c r="E69" s="989">
        <f>ROUND(E60-E58-'[4]C6-FinPos'!E48,0)</f>
        <v>-4937826</v>
      </c>
      <c r="G69" s="989">
        <f>ROUND(G60-G58-'[4]C6-FinPos'!F48,0)</f>
        <v>-169526682</v>
      </c>
      <c r="H69" s="991"/>
      <c r="I69" s="991"/>
      <c r="J69" s="991"/>
      <c r="K69" s="989">
        <f>ROUND(K60-K58-'[4]C6-FinPos'!G48,0)</f>
        <v>-2171886</v>
      </c>
      <c r="L69" s="989"/>
      <c r="M69" s="989"/>
    </row>
    <row r="70" spans="1:13" ht="11.25" hidden="1" customHeight="1">
      <c r="A70" s="141"/>
      <c r="B70" s="140"/>
      <c r="C70" s="991"/>
      <c r="D70" s="991"/>
      <c r="E70" s="991"/>
      <c r="F70" s="991"/>
      <c r="G70" s="991"/>
      <c r="H70" s="991"/>
      <c r="I70" s="991"/>
      <c r="J70" s="991"/>
      <c r="K70" s="991"/>
      <c r="L70" s="991"/>
      <c r="M70" s="991"/>
    </row>
    <row r="71" spans="1:13" ht="11.25" customHeight="1">
      <c r="B71" s="6"/>
    </row>
    <row r="72" spans="1:13" ht="11.25" customHeight="1">
      <c r="B72" s="6"/>
    </row>
    <row r="73" spans="1:13" ht="11.25" customHeight="1">
      <c r="B73" s="6"/>
    </row>
    <row r="74" spans="1:13" ht="11.25" customHeight="1">
      <c r="B74" s="6"/>
    </row>
    <row r="75" spans="1:13" ht="11.25" customHeight="1">
      <c r="B75" s="6"/>
    </row>
    <row r="76" spans="1:13" ht="11.25" customHeight="1">
      <c r="B76" s="6"/>
    </row>
    <row r="77" spans="1:13" ht="11.25" customHeight="1">
      <c r="B77" s="6"/>
    </row>
    <row r="78" spans="1:13" ht="11.25" customHeight="1">
      <c r="B78" s="6"/>
    </row>
    <row r="79" spans="1:13" ht="11.25" customHeight="1">
      <c r="B79" s="6"/>
    </row>
    <row r="80" spans="1:13" ht="11.25" customHeight="1">
      <c r="B80" s="6"/>
    </row>
    <row r="81" spans="2:2" ht="11.25" customHeight="1">
      <c r="B81" s="6"/>
    </row>
    <row r="82" spans="2:2" ht="11.25" customHeight="1">
      <c r="B82" s="6"/>
    </row>
    <row r="83" spans="2:2" ht="11.25" customHeight="1">
      <c r="B83" s="6"/>
    </row>
    <row r="84" spans="2:2" ht="11.25" customHeight="1">
      <c r="B84" s="6"/>
    </row>
    <row r="85" spans="2:2" ht="11.25" customHeight="1">
      <c r="B85" s="6"/>
    </row>
    <row r="86" spans="2:2" ht="11.25" customHeight="1">
      <c r="B86" s="6"/>
    </row>
    <row r="87" spans="2:2" ht="11.25" customHeight="1">
      <c r="B87" s="6"/>
    </row>
    <row r="88" spans="2:2" ht="11.25" customHeight="1">
      <c r="B88" s="6"/>
    </row>
    <row r="89" spans="2:2" ht="11.25" customHeight="1">
      <c r="B89" s="6"/>
    </row>
    <row r="90" spans="2:2" ht="11.25" customHeight="1">
      <c r="B90" s="6"/>
    </row>
    <row r="91" spans="2:2" ht="11.25" customHeight="1">
      <c r="B91" s="6"/>
    </row>
    <row r="92" spans="2:2" ht="11.25" customHeight="1">
      <c r="B92" s="6"/>
    </row>
    <row r="93" spans="2:2" ht="11.25" customHeight="1">
      <c r="B93" s="6"/>
    </row>
    <row r="94" spans="2:2" ht="11.25" customHeight="1">
      <c r="B94" s="6"/>
    </row>
    <row r="95" spans="2:2" ht="11.25" customHeight="1">
      <c r="B95" s="6"/>
    </row>
    <row r="96" spans="2:2" ht="11.25" customHeight="1">
      <c r="B96" s="6"/>
    </row>
    <row r="97" spans="2:2" ht="11.25" customHeight="1">
      <c r="B97" s="6"/>
    </row>
    <row r="98" spans="2:2" ht="11.25" customHeight="1">
      <c r="B98" s="6"/>
    </row>
    <row r="99" spans="2:2" ht="11.25" customHeight="1">
      <c r="B99" s="6"/>
    </row>
    <row r="100" spans="2:2" ht="11.25" customHeight="1">
      <c r="B100" s="6"/>
    </row>
    <row r="101" spans="2:2" ht="11.25" customHeight="1">
      <c r="B101" s="6"/>
    </row>
    <row r="102" spans="2:2" ht="11.25" customHeight="1">
      <c r="B102" s="6"/>
    </row>
    <row r="103" spans="2:2" ht="11.25" customHeight="1">
      <c r="B103" s="6"/>
    </row>
    <row r="104" spans="2:2" ht="11.25" customHeight="1"/>
    <row r="105" spans="2:2" ht="11.25" customHeight="1"/>
    <row r="106" spans="2:2" ht="11.25" customHeight="1"/>
    <row r="347" hidden="1"/>
    <row r="348" hidden="1"/>
    <row r="349" hidden="1"/>
    <row r="350" hidden="1"/>
    <row r="351" hidden="1"/>
    <row r="352" hidden="1"/>
    <row r="353" hidden="1"/>
  </sheetData>
  <mergeCells count="4">
    <mergeCell ref="A1:K1"/>
    <mergeCell ref="A2:A3"/>
    <mergeCell ref="B2:B3"/>
    <mergeCell ref="D2:K2"/>
  </mergeCells>
  <conditionalFormatting sqref="G69 K69 C67:E69 F67:K68">
    <cfRule type="cellIs" dxfId="2" priority="3" operator="notEqual">
      <formula>0</formula>
    </cfRule>
  </conditionalFormatting>
  <conditionalFormatting sqref="L67:L69">
    <cfRule type="cellIs" dxfId="1" priority="2" operator="notEqual">
      <formula>0</formula>
    </cfRule>
  </conditionalFormatting>
  <conditionalFormatting sqref="M67:M69">
    <cfRule type="cellIs" dxfId="0" priority="1" operator="notEqual">
      <formula>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F0BA-B7C8-4BD8-BC09-BAC5B83F9519}">
  <dimension ref="A1:R71"/>
  <sheetViews>
    <sheetView showGridLines="0" zoomScale="80" zoomScaleNormal="80" workbookViewId="0">
      <selection sqref="A1:J22"/>
    </sheetView>
  </sheetViews>
  <sheetFormatPr defaultColWidth="8.88671875" defaultRowHeight="15.6" customHeight="1"/>
  <cols>
    <col min="1" max="1" width="66.88671875" style="600" customWidth="1"/>
    <col min="2" max="3" width="17.6640625" style="619" customWidth="1"/>
    <col min="4" max="9" width="17.6640625" style="600" customWidth="1"/>
    <col min="10" max="10" width="2.5546875" style="600" customWidth="1"/>
    <col min="11" max="11" width="4.88671875" style="600" customWidth="1"/>
    <col min="12" max="12" width="20.88671875" style="600" customWidth="1"/>
    <col min="13" max="13" width="21.44140625" style="600" customWidth="1"/>
    <col min="14" max="14" width="14.33203125" style="600" customWidth="1"/>
    <col min="15" max="17" width="16" style="600" customWidth="1"/>
    <col min="18" max="16384" width="8.88671875" style="600"/>
  </cols>
  <sheetData>
    <row r="1" spans="1:18" ht="20.399999999999999" customHeight="1" thickBot="1">
      <c r="A1" s="595" t="s">
        <v>360</v>
      </c>
      <c r="B1" s="596" t="s">
        <v>361</v>
      </c>
      <c r="C1" s="596" t="s">
        <v>362</v>
      </c>
      <c r="D1" s="597" t="s">
        <v>363</v>
      </c>
      <c r="E1" s="597" t="s">
        <v>364</v>
      </c>
      <c r="F1" s="597" t="s">
        <v>365</v>
      </c>
      <c r="G1" s="597" t="s">
        <v>366</v>
      </c>
      <c r="H1" s="597" t="s">
        <v>367</v>
      </c>
      <c r="I1" s="598"/>
      <c r="J1" s="599"/>
      <c r="L1" s="1119" t="s">
        <v>368</v>
      </c>
      <c r="M1" s="1120"/>
      <c r="N1" s="601" t="s">
        <v>369</v>
      </c>
      <c r="O1" s="602" t="s">
        <v>85</v>
      </c>
      <c r="P1" s="602" t="s">
        <v>85</v>
      </c>
      <c r="Q1" s="602" t="s">
        <v>85</v>
      </c>
      <c r="R1" s="603"/>
    </row>
    <row r="2" spans="1:18" ht="15.6" customHeight="1" thickBot="1">
      <c r="A2" s="604" t="s">
        <v>370</v>
      </c>
      <c r="B2" s="605" t="s">
        <v>371</v>
      </c>
      <c r="C2" s="606" t="s">
        <v>372</v>
      </c>
      <c r="D2" s="607" t="s">
        <v>373</v>
      </c>
      <c r="E2" s="607" t="s">
        <v>374</v>
      </c>
      <c r="F2" s="607" t="s">
        <v>374</v>
      </c>
      <c r="G2" s="607" t="s">
        <v>375</v>
      </c>
      <c r="H2" s="607" t="s">
        <v>376</v>
      </c>
      <c r="I2" s="608" t="s">
        <v>377</v>
      </c>
      <c r="J2" s="609"/>
      <c r="L2" s="610"/>
      <c r="M2" s="611"/>
      <c r="N2" s="611"/>
      <c r="O2" s="611"/>
      <c r="P2" s="612">
        <v>4.3999999999999997E-2</v>
      </c>
      <c r="Q2" s="612">
        <v>4.4999999999999998E-2</v>
      </c>
      <c r="R2" s="599"/>
    </row>
    <row r="3" spans="1:18" ht="15.6" customHeight="1">
      <c r="A3" s="613" t="s">
        <v>378</v>
      </c>
      <c r="B3" s="614">
        <v>0</v>
      </c>
      <c r="C3" s="615">
        <v>4294796</v>
      </c>
      <c r="D3" s="616">
        <v>0</v>
      </c>
      <c r="E3" s="617">
        <v>0</v>
      </c>
      <c r="F3" s="615">
        <v>0</v>
      </c>
      <c r="G3" s="617">
        <v>0</v>
      </c>
      <c r="H3" s="615">
        <v>0</v>
      </c>
      <c r="I3" s="618">
        <v>4294796</v>
      </c>
      <c r="J3" s="609"/>
      <c r="K3" s="619"/>
      <c r="L3" s="620" t="s">
        <v>379</v>
      </c>
      <c r="M3" s="621">
        <v>78718484.400000006</v>
      </c>
      <c r="N3" s="615">
        <v>0</v>
      </c>
      <c r="O3" s="622">
        <v>78718484.400000006</v>
      </c>
      <c r="P3" s="622">
        <v>82182097.71360001</v>
      </c>
      <c r="Q3" s="622">
        <v>85880292.110712007</v>
      </c>
      <c r="R3" s="609"/>
    </row>
    <row r="4" spans="1:18" ht="15.6" customHeight="1">
      <c r="A4" s="613" t="s">
        <v>380</v>
      </c>
      <c r="B4" s="614">
        <v>0</v>
      </c>
      <c r="C4" s="615">
        <v>3930331</v>
      </c>
      <c r="D4" s="616">
        <v>0</v>
      </c>
      <c r="E4" s="617">
        <v>0</v>
      </c>
      <c r="F4" s="615">
        <v>0</v>
      </c>
      <c r="G4" s="617">
        <v>0</v>
      </c>
      <c r="H4" s="615">
        <v>1272480.6000000001</v>
      </c>
      <c r="I4" s="618">
        <v>5202811.5999999996</v>
      </c>
      <c r="J4" s="609"/>
      <c r="K4" s="619"/>
      <c r="L4" s="620" t="s">
        <v>381</v>
      </c>
      <c r="M4" s="623">
        <v>1602650.88</v>
      </c>
      <c r="O4" s="622">
        <v>1602650.88</v>
      </c>
      <c r="P4" s="622">
        <v>1673167.5187200001</v>
      </c>
      <c r="Q4" s="622">
        <v>1748460.0570624</v>
      </c>
      <c r="R4" s="609"/>
    </row>
    <row r="5" spans="1:18" ht="15.6" customHeight="1" thickBot="1">
      <c r="A5" s="613" t="s">
        <v>382</v>
      </c>
      <c r="B5" s="614">
        <v>0</v>
      </c>
      <c r="C5" s="615">
        <v>1319740</v>
      </c>
      <c r="D5" s="616">
        <v>0</v>
      </c>
      <c r="E5" s="617">
        <v>0</v>
      </c>
      <c r="F5" s="615">
        <v>0</v>
      </c>
      <c r="G5" s="617">
        <v>0</v>
      </c>
      <c r="H5" s="615">
        <v>0</v>
      </c>
      <c r="I5" s="618">
        <v>1319740</v>
      </c>
      <c r="J5" s="609"/>
      <c r="K5" s="619"/>
      <c r="L5" s="620" t="s">
        <v>383</v>
      </c>
      <c r="M5" s="624">
        <v>3356500</v>
      </c>
      <c r="N5" s="625">
        <v>0</v>
      </c>
      <c r="O5" s="622">
        <v>3356500</v>
      </c>
      <c r="P5" s="622">
        <v>3504186</v>
      </c>
      <c r="Q5" s="622">
        <v>3661874.3699999996</v>
      </c>
      <c r="R5" s="609"/>
    </row>
    <row r="6" spans="1:18" ht="15.6" customHeight="1" thickBot="1">
      <c r="A6" s="613" t="s">
        <v>384</v>
      </c>
      <c r="B6" s="614">
        <v>0</v>
      </c>
      <c r="C6" s="615">
        <v>1029380</v>
      </c>
      <c r="D6" s="616">
        <v>0</v>
      </c>
      <c r="E6" s="617">
        <v>0</v>
      </c>
      <c r="F6" s="615">
        <v>0</v>
      </c>
      <c r="G6" s="617">
        <v>0</v>
      </c>
      <c r="H6" s="615">
        <v>0</v>
      </c>
      <c r="I6" s="618">
        <v>1029380</v>
      </c>
      <c r="J6" s="609"/>
      <c r="K6" s="619"/>
      <c r="L6" s="620"/>
      <c r="M6" s="626">
        <v>83677635.280000001</v>
      </c>
      <c r="N6" s="627">
        <v>0</v>
      </c>
      <c r="O6" s="628">
        <v>83677635.280000001</v>
      </c>
      <c r="P6" s="628">
        <v>87359451.232320011</v>
      </c>
      <c r="Q6" s="628">
        <v>91290626.537774414</v>
      </c>
      <c r="R6" s="609"/>
    </row>
    <row r="7" spans="1:18" ht="15.6" customHeight="1" thickTop="1">
      <c r="A7" s="613" t="s">
        <v>385</v>
      </c>
      <c r="B7" s="614">
        <v>0</v>
      </c>
      <c r="C7" s="615">
        <v>10908435</v>
      </c>
      <c r="D7" s="616">
        <v>0</v>
      </c>
      <c r="E7" s="617">
        <v>0</v>
      </c>
      <c r="F7" s="615">
        <v>0</v>
      </c>
      <c r="G7" s="617">
        <v>0</v>
      </c>
      <c r="H7" s="615">
        <v>1166589.6000000001</v>
      </c>
      <c r="I7" s="618">
        <v>12075024.6</v>
      </c>
      <c r="J7" s="609"/>
      <c r="K7" s="619"/>
      <c r="L7" s="620"/>
      <c r="R7" s="609"/>
    </row>
    <row r="8" spans="1:18" ht="15.6" customHeight="1">
      <c r="A8" s="613" t="s">
        <v>386</v>
      </c>
      <c r="B8" s="614">
        <v>0</v>
      </c>
      <c r="C8" s="615">
        <v>15176366</v>
      </c>
      <c r="D8" s="616">
        <v>0</v>
      </c>
      <c r="E8" s="617">
        <v>0</v>
      </c>
      <c r="F8" s="629">
        <v>600000</v>
      </c>
      <c r="G8" s="617">
        <v>0</v>
      </c>
      <c r="H8" s="615">
        <v>1166589.6000000001</v>
      </c>
      <c r="I8" s="618">
        <v>16942955.600000001</v>
      </c>
      <c r="J8" s="609"/>
      <c r="K8" s="619"/>
      <c r="L8" s="620"/>
      <c r="O8" s="615"/>
      <c r="R8" s="609"/>
    </row>
    <row r="9" spans="1:18" ht="15.6" customHeight="1">
      <c r="A9" s="613" t="s">
        <v>387</v>
      </c>
      <c r="B9" s="614">
        <v>0</v>
      </c>
      <c r="C9" s="615">
        <v>1486227</v>
      </c>
      <c r="D9" s="616">
        <v>0</v>
      </c>
      <c r="E9" s="617">
        <v>0</v>
      </c>
      <c r="F9" s="615">
        <v>0</v>
      </c>
      <c r="G9" s="617">
        <v>0</v>
      </c>
      <c r="H9" s="615">
        <v>0</v>
      </c>
      <c r="I9" s="618">
        <v>1486227</v>
      </c>
      <c r="J9" s="609"/>
      <c r="K9" s="619"/>
      <c r="L9" s="620"/>
      <c r="O9" s="625"/>
      <c r="R9" s="609"/>
    </row>
    <row r="10" spans="1:18" ht="15.6" customHeight="1">
      <c r="A10" s="613" t="s">
        <v>388</v>
      </c>
      <c r="B10" s="614">
        <v>0</v>
      </c>
      <c r="C10" s="615">
        <v>447011</v>
      </c>
      <c r="D10" s="616">
        <v>0</v>
      </c>
      <c r="E10" s="617">
        <v>0</v>
      </c>
      <c r="F10" s="615">
        <v>0</v>
      </c>
      <c r="G10" s="617">
        <v>0</v>
      </c>
      <c r="H10" s="615">
        <v>0</v>
      </c>
      <c r="I10" s="618">
        <v>447011</v>
      </c>
      <c r="J10" s="609"/>
      <c r="L10" s="630" t="s">
        <v>389</v>
      </c>
      <c r="M10" s="631"/>
      <c r="N10" s="631"/>
      <c r="O10" s="631"/>
      <c r="R10" s="609"/>
    </row>
    <row r="11" spans="1:18" ht="15.6" customHeight="1">
      <c r="A11" s="613" t="s">
        <v>390</v>
      </c>
      <c r="B11" s="614">
        <v>0</v>
      </c>
      <c r="C11" s="615">
        <v>1025910</v>
      </c>
      <c r="D11" s="616">
        <v>0</v>
      </c>
      <c r="E11" s="617">
        <v>0</v>
      </c>
      <c r="F11" s="615">
        <v>0</v>
      </c>
      <c r="G11" s="617">
        <v>0</v>
      </c>
      <c r="H11" s="615">
        <v>0</v>
      </c>
      <c r="I11" s="618">
        <v>1025910</v>
      </c>
      <c r="J11" s="609"/>
      <c r="L11" s="630"/>
      <c r="M11" s="631"/>
      <c r="N11" s="631"/>
      <c r="O11" s="631"/>
      <c r="R11" s="609"/>
    </row>
    <row r="12" spans="1:18" ht="15.6" customHeight="1">
      <c r="A12" s="613" t="s">
        <v>391</v>
      </c>
      <c r="B12" s="614">
        <v>377030</v>
      </c>
      <c r="C12" s="615">
        <v>6261787</v>
      </c>
      <c r="D12" s="616">
        <v>0</v>
      </c>
      <c r="E12" s="617">
        <v>0</v>
      </c>
      <c r="F12" s="615">
        <v>0</v>
      </c>
      <c r="G12" s="617">
        <v>0</v>
      </c>
      <c r="H12" s="615">
        <v>0</v>
      </c>
      <c r="I12" s="618">
        <v>6638817</v>
      </c>
      <c r="J12" s="609"/>
      <c r="L12" s="630" t="s">
        <v>392</v>
      </c>
      <c r="M12" s="631"/>
      <c r="N12" s="631"/>
      <c r="O12" s="631"/>
      <c r="R12" s="609"/>
    </row>
    <row r="13" spans="1:18" ht="15.6" customHeight="1">
      <c r="A13" s="613" t="s">
        <v>393</v>
      </c>
      <c r="B13" s="614">
        <v>2936520</v>
      </c>
      <c r="C13" s="615">
        <v>1210443</v>
      </c>
      <c r="D13" s="616">
        <v>0</v>
      </c>
      <c r="E13" s="617">
        <v>0</v>
      </c>
      <c r="F13" s="615">
        <v>0</v>
      </c>
      <c r="G13" s="617">
        <v>0</v>
      </c>
      <c r="H13" s="615">
        <v>0</v>
      </c>
      <c r="I13" s="618">
        <v>4146963</v>
      </c>
      <c r="J13" s="609"/>
      <c r="L13" s="630"/>
      <c r="M13" s="631"/>
      <c r="N13" s="631"/>
      <c r="O13" s="631"/>
      <c r="R13" s="609"/>
    </row>
    <row r="14" spans="1:18" ht="15.6" customHeight="1">
      <c r="A14" s="613" t="s">
        <v>394</v>
      </c>
      <c r="B14" s="614">
        <v>0</v>
      </c>
      <c r="C14" s="615">
        <v>3885011</v>
      </c>
      <c r="D14" s="616">
        <v>0</v>
      </c>
      <c r="E14" s="617">
        <v>0</v>
      </c>
      <c r="F14" s="615">
        <v>0</v>
      </c>
      <c r="G14" s="617">
        <v>0</v>
      </c>
      <c r="H14" s="615">
        <v>0</v>
      </c>
      <c r="I14" s="618">
        <v>3885011</v>
      </c>
      <c r="J14" s="609"/>
      <c r="L14" s="630"/>
      <c r="M14" s="631"/>
      <c r="N14" s="631"/>
      <c r="O14" s="631"/>
      <c r="R14" s="609"/>
    </row>
    <row r="15" spans="1:18" ht="15.6" customHeight="1">
      <c r="A15" s="613" t="s">
        <v>395</v>
      </c>
      <c r="B15" s="614">
        <v>1289830</v>
      </c>
      <c r="C15" s="615">
        <v>1126684</v>
      </c>
      <c r="D15" s="616">
        <v>0</v>
      </c>
      <c r="E15" s="617">
        <v>474150</v>
      </c>
      <c r="F15" s="615">
        <v>0</v>
      </c>
      <c r="G15" s="617">
        <v>979450</v>
      </c>
      <c r="H15" s="615">
        <v>1166589.6000000001</v>
      </c>
      <c r="I15" s="618">
        <v>5036703.5999999996</v>
      </c>
      <c r="J15" s="609"/>
      <c r="L15" s="630"/>
      <c r="M15" s="631"/>
      <c r="N15" s="631"/>
      <c r="O15" s="631"/>
      <c r="R15" s="609"/>
    </row>
    <row r="16" spans="1:18" ht="15.6" customHeight="1">
      <c r="A16" s="613" t="s">
        <v>396</v>
      </c>
      <c r="B16" s="614">
        <v>4573420</v>
      </c>
      <c r="C16" s="615">
        <v>4054556</v>
      </c>
      <c r="D16" s="616">
        <v>0</v>
      </c>
      <c r="E16" s="617">
        <v>0</v>
      </c>
      <c r="F16" s="615">
        <v>0</v>
      </c>
      <c r="G16" s="617">
        <v>0</v>
      </c>
      <c r="H16" s="615">
        <v>0</v>
      </c>
      <c r="I16" s="618">
        <v>8627976</v>
      </c>
      <c r="J16" s="609"/>
      <c r="L16" s="630"/>
      <c r="M16" s="631"/>
      <c r="N16" s="631"/>
      <c r="O16" s="631"/>
      <c r="R16" s="609"/>
    </row>
    <row r="17" spans="1:18" ht="15.6" customHeight="1">
      <c r="A17" s="613" t="s">
        <v>397</v>
      </c>
      <c r="B17" s="614">
        <v>4013020</v>
      </c>
      <c r="C17" s="615">
        <v>269880</v>
      </c>
      <c r="D17" s="616">
        <v>0</v>
      </c>
      <c r="E17" s="617">
        <v>0</v>
      </c>
      <c r="F17" s="615">
        <v>0</v>
      </c>
      <c r="G17" s="617">
        <v>0</v>
      </c>
      <c r="H17" s="615">
        <v>0</v>
      </c>
      <c r="I17" s="618">
        <v>4282900</v>
      </c>
      <c r="J17" s="609"/>
      <c r="L17" s="630"/>
      <c r="M17" s="632"/>
      <c r="N17" s="632"/>
      <c r="O17" s="632"/>
      <c r="P17" s="633"/>
      <c r="Q17" s="633"/>
      <c r="R17" s="634"/>
    </row>
    <row r="18" spans="1:18" ht="15.6" customHeight="1">
      <c r="A18" s="613" t="s">
        <v>398</v>
      </c>
      <c r="B18" s="614">
        <v>0</v>
      </c>
      <c r="C18" s="615">
        <v>1211962</v>
      </c>
      <c r="D18" s="616">
        <v>0</v>
      </c>
      <c r="E18" s="617">
        <v>0</v>
      </c>
      <c r="F18" s="615">
        <v>0</v>
      </c>
      <c r="G18" s="617">
        <v>0</v>
      </c>
      <c r="H18" s="615">
        <v>0</v>
      </c>
      <c r="I18" s="618">
        <v>1211962</v>
      </c>
      <c r="J18" s="609"/>
      <c r="L18" s="635"/>
      <c r="M18" s="633"/>
      <c r="N18" s="633"/>
      <c r="O18" s="633"/>
      <c r="P18" s="633"/>
      <c r="Q18" s="633"/>
      <c r="R18" s="634"/>
    </row>
    <row r="19" spans="1:18" ht="15.6" customHeight="1">
      <c r="A19" s="613" t="s">
        <v>399</v>
      </c>
      <c r="B19" s="614"/>
      <c r="C19" s="615"/>
      <c r="D19" s="616">
        <v>2666946.88</v>
      </c>
      <c r="E19" s="617"/>
      <c r="F19" s="615"/>
      <c r="G19" s="617"/>
      <c r="H19" s="615"/>
      <c r="I19" s="618">
        <v>2666946.88</v>
      </c>
      <c r="J19" s="609"/>
      <c r="L19" s="636"/>
      <c r="M19" s="631"/>
      <c r="N19" s="631"/>
      <c r="O19" s="631"/>
      <c r="R19" s="609"/>
    </row>
    <row r="20" spans="1:18" ht="15.6" customHeight="1">
      <c r="A20" s="613"/>
      <c r="B20" s="614"/>
      <c r="C20" s="615"/>
      <c r="D20" s="616"/>
      <c r="E20" s="617"/>
      <c r="F20" s="615"/>
      <c r="G20" s="617"/>
      <c r="H20" s="615"/>
      <c r="I20" s="618"/>
      <c r="J20" s="609"/>
      <c r="L20" s="636"/>
      <c r="M20" s="631"/>
      <c r="N20" s="631"/>
      <c r="O20" s="631"/>
      <c r="R20" s="609"/>
    </row>
    <row r="21" spans="1:18" ht="15.6" customHeight="1" thickBot="1">
      <c r="A21" s="637"/>
      <c r="B21" s="638"/>
      <c r="C21" s="639"/>
      <c r="D21" s="640"/>
      <c r="E21" s="641"/>
      <c r="F21" s="615"/>
      <c r="G21" s="641"/>
      <c r="H21" s="615"/>
      <c r="I21" s="618"/>
      <c r="J21" s="609"/>
      <c r="L21" s="635"/>
      <c r="M21" s="633"/>
      <c r="N21" s="633"/>
      <c r="O21" s="633"/>
      <c r="P21" s="633"/>
      <c r="Q21" s="633"/>
      <c r="R21" s="634"/>
    </row>
    <row r="22" spans="1:18" ht="15.6" customHeight="1" thickBot="1">
      <c r="A22" s="642"/>
      <c r="B22" s="627">
        <v>13189820</v>
      </c>
      <c r="C22" s="627">
        <v>57638519</v>
      </c>
      <c r="D22" s="627">
        <v>2666946.88</v>
      </c>
      <c r="E22" s="627">
        <v>474150</v>
      </c>
      <c r="F22" s="627">
        <v>600000</v>
      </c>
      <c r="G22" s="627">
        <v>979450</v>
      </c>
      <c r="H22" s="627">
        <v>4772249.4000000004</v>
      </c>
      <c r="I22" s="627">
        <v>80321135.280000001</v>
      </c>
      <c r="J22" s="609"/>
      <c r="L22" s="671"/>
      <c r="M22" s="643"/>
      <c r="N22" s="643"/>
      <c r="O22" s="643"/>
      <c r="P22" s="643"/>
      <c r="Q22" s="643"/>
      <c r="R22" s="644"/>
    </row>
    <row r="23" spans="1:18" ht="6" customHeight="1" thickTop="1">
      <c r="A23" s="642"/>
      <c r="B23" s="615"/>
      <c r="C23" s="615"/>
      <c r="J23" s="609"/>
      <c r="L23" s="672"/>
      <c r="M23" s="633"/>
      <c r="N23" s="633"/>
      <c r="O23" s="633"/>
      <c r="P23" s="633"/>
      <c r="Q23" s="633"/>
      <c r="R23" s="634"/>
    </row>
    <row r="24" spans="1:18" ht="13.95" customHeight="1">
      <c r="A24" s="645" t="s">
        <v>400</v>
      </c>
      <c r="B24" s="596" t="s">
        <v>361</v>
      </c>
      <c r="C24" s="596" t="s">
        <v>362</v>
      </c>
      <c r="D24" s="646" t="s">
        <v>363</v>
      </c>
      <c r="E24" s="646" t="s">
        <v>364</v>
      </c>
      <c r="F24" s="646" t="s">
        <v>365</v>
      </c>
      <c r="G24" s="646" t="s">
        <v>366</v>
      </c>
      <c r="H24" s="646" t="s">
        <v>367</v>
      </c>
      <c r="I24" s="647"/>
      <c r="J24" s="609"/>
      <c r="L24" s="672"/>
      <c r="M24" s="633"/>
      <c r="N24" s="633"/>
      <c r="O24" s="633"/>
      <c r="P24" s="633"/>
      <c r="Q24" s="633"/>
      <c r="R24" s="634"/>
    </row>
    <row r="25" spans="1:18" ht="15.6" customHeight="1">
      <c r="A25" s="648" t="s">
        <v>401</v>
      </c>
      <c r="B25" s="649">
        <v>7151000</v>
      </c>
      <c r="C25" s="649">
        <v>38361890</v>
      </c>
      <c r="D25" s="649">
        <v>1981790</v>
      </c>
      <c r="E25" s="650">
        <v>393510</v>
      </c>
      <c r="F25" s="649">
        <v>600000</v>
      </c>
      <c r="G25" s="650">
        <v>958830</v>
      </c>
      <c r="H25" s="649">
        <v>4170271</v>
      </c>
      <c r="I25" s="651">
        <v>53617291</v>
      </c>
      <c r="J25" s="609"/>
      <c r="L25" s="672"/>
      <c r="M25" s="633"/>
      <c r="N25" s="633"/>
      <c r="O25" s="633"/>
      <c r="P25" s="633"/>
      <c r="Q25" s="633"/>
      <c r="R25" s="634"/>
    </row>
    <row r="26" spans="1:18" ht="15.6" customHeight="1">
      <c r="A26" s="613" t="s">
        <v>402</v>
      </c>
      <c r="B26" s="615">
        <v>595910</v>
      </c>
      <c r="C26" s="615">
        <v>3196830</v>
      </c>
      <c r="D26" s="615">
        <v>165150</v>
      </c>
      <c r="E26" s="617"/>
      <c r="F26" s="615"/>
      <c r="G26" s="617"/>
      <c r="H26" s="615">
        <v>0</v>
      </c>
      <c r="I26" s="652">
        <v>3957890</v>
      </c>
      <c r="J26" s="609"/>
      <c r="L26" s="672"/>
      <c r="M26" s="633"/>
      <c r="N26" s="633"/>
      <c r="O26" s="633"/>
      <c r="P26" s="633"/>
      <c r="Q26" s="633"/>
      <c r="R26" s="634"/>
    </row>
    <row r="27" spans="1:18" ht="15.6" customHeight="1">
      <c r="A27" s="613" t="s">
        <v>403</v>
      </c>
      <c r="B27" s="615">
        <v>193270</v>
      </c>
      <c r="C27" s="615">
        <v>2124010</v>
      </c>
      <c r="D27" s="615">
        <v>0</v>
      </c>
      <c r="E27" s="617">
        <v>73440</v>
      </c>
      <c r="F27" s="615"/>
      <c r="G27" s="617"/>
      <c r="H27" s="615">
        <v>300000</v>
      </c>
      <c r="I27" s="652">
        <v>2690720</v>
      </c>
      <c r="J27" s="609"/>
      <c r="K27" s="653"/>
      <c r="L27" s="675"/>
      <c r="M27" s="676"/>
      <c r="N27" s="674" t="s">
        <v>427</v>
      </c>
      <c r="O27" s="674"/>
      <c r="P27" s="674"/>
      <c r="Q27" s="674"/>
      <c r="R27" s="677"/>
    </row>
    <row r="28" spans="1:18" ht="15.6" customHeight="1">
      <c r="A28" s="613" t="s">
        <v>404</v>
      </c>
      <c r="B28" s="615">
        <v>46340</v>
      </c>
      <c r="C28" s="615">
        <v>297790</v>
      </c>
      <c r="D28" s="615">
        <v>4800</v>
      </c>
      <c r="E28" s="617"/>
      <c r="F28" s="615"/>
      <c r="G28" s="617"/>
      <c r="H28" s="615">
        <v>0</v>
      </c>
      <c r="I28" s="652">
        <v>348930</v>
      </c>
      <c r="J28" s="609"/>
      <c r="K28" s="653"/>
      <c r="L28" s="673"/>
      <c r="M28" s="633"/>
      <c r="N28" s="633"/>
      <c r="O28" s="633"/>
      <c r="P28" s="633"/>
      <c r="Q28" s="633"/>
      <c r="R28" s="634"/>
    </row>
    <row r="29" spans="1:18" ht="15.6" customHeight="1">
      <c r="A29" s="613" t="s">
        <v>405</v>
      </c>
      <c r="B29" s="615">
        <v>287530</v>
      </c>
      <c r="C29" s="615">
        <v>680637</v>
      </c>
      <c r="D29" s="615">
        <v>0</v>
      </c>
      <c r="E29" s="617"/>
      <c r="F29" s="615"/>
      <c r="G29" s="617"/>
      <c r="H29" s="615">
        <v>0</v>
      </c>
      <c r="I29" s="652">
        <v>968167</v>
      </c>
      <c r="J29" s="609"/>
      <c r="K29" s="653"/>
      <c r="L29" s="673"/>
      <c r="M29" s="633"/>
      <c r="N29" s="633"/>
      <c r="O29" s="633"/>
      <c r="P29" s="633"/>
      <c r="Q29" s="633"/>
      <c r="R29" s="634"/>
    </row>
    <row r="30" spans="1:18" ht="15.6" customHeight="1">
      <c r="A30" s="613" t="s">
        <v>406</v>
      </c>
      <c r="B30" s="615">
        <v>1232280</v>
      </c>
      <c r="C30" s="615">
        <v>721901</v>
      </c>
      <c r="D30" s="615">
        <v>0</v>
      </c>
      <c r="E30" s="617"/>
      <c r="F30" s="615"/>
      <c r="G30" s="617"/>
      <c r="H30" s="615">
        <v>0</v>
      </c>
      <c r="I30" s="652">
        <v>1954181</v>
      </c>
      <c r="J30" s="609"/>
      <c r="K30" s="653"/>
      <c r="L30" s="673"/>
      <c r="M30" s="633"/>
      <c r="N30" s="633"/>
      <c r="O30" s="633"/>
      <c r="P30" s="633"/>
      <c r="Q30" s="633"/>
      <c r="R30" s="634"/>
    </row>
    <row r="31" spans="1:18" ht="15.6" customHeight="1">
      <c r="A31" s="613" t="s">
        <v>359</v>
      </c>
      <c r="B31" s="615">
        <v>1465800</v>
      </c>
      <c r="C31" s="615">
        <v>1059925</v>
      </c>
      <c r="D31" s="615">
        <v>0</v>
      </c>
      <c r="E31" s="617"/>
      <c r="F31" s="615"/>
      <c r="G31" s="617"/>
      <c r="H31" s="615">
        <v>0</v>
      </c>
      <c r="I31" s="652">
        <v>2525725</v>
      </c>
      <c r="J31" s="609"/>
      <c r="K31" s="653"/>
      <c r="L31" s="673"/>
      <c r="M31" s="633"/>
      <c r="N31" s="633"/>
      <c r="O31" s="633"/>
      <c r="P31" s="633"/>
      <c r="Q31" s="633"/>
      <c r="R31" s="634"/>
    </row>
    <row r="32" spans="1:18" ht="15.6" customHeight="1">
      <c r="A32" s="613" t="s">
        <v>407</v>
      </c>
      <c r="B32" s="615">
        <v>13000</v>
      </c>
      <c r="C32" s="615">
        <v>115520</v>
      </c>
      <c r="D32" s="615">
        <v>0</v>
      </c>
      <c r="E32" s="617">
        <v>7200</v>
      </c>
      <c r="F32" s="615"/>
      <c r="G32" s="617"/>
      <c r="H32" s="615">
        <v>115200</v>
      </c>
      <c r="I32" s="652">
        <v>250920</v>
      </c>
      <c r="J32" s="609"/>
      <c r="K32" s="653"/>
      <c r="L32" s="673"/>
      <c r="M32" s="633"/>
      <c r="N32" s="633"/>
      <c r="O32" s="633"/>
      <c r="P32" s="633"/>
      <c r="Q32" s="633"/>
      <c r="R32" s="634"/>
    </row>
    <row r="33" spans="1:18" ht="15.6" customHeight="1">
      <c r="A33" s="613" t="s">
        <v>408</v>
      </c>
      <c r="B33" s="615">
        <v>1287170</v>
      </c>
      <c r="C33" s="615">
        <v>6424960</v>
      </c>
      <c r="D33" s="615">
        <v>356720</v>
      </c>
      <c r="E33" s="617"/>
      <c r="F33" s="615"/>
      <c r="G33" s="617"/>
      <c r="H33" s="615">
        <v>0</v>
      </c>
      <c r="I33" s="652">
        <v>8068850</v>
      </c>
      <c r="J33" s="609"/>
      <c r="K33" s="653"/>
      <c r="L33" s="673"/>
      <c r="M33" s="633"/>
      <c r="N33" s="633"/>
      <c r="O33" s="633"/>
      <c r="P33" s="633"/>
      <c r="Q33" s="633"/>
      <c r="R33" s="634"/>
    </row>
    <row r="34" spans="1:18" ht="15.6" customHeight="1">
      <c r="A34" s="613" t="s">
        <v>409</v>
      </c>
      <c r="B34" s="615">
        <v>570280</v>
      </c>
      <c r="C34" s="615">
        <v>2243700</v>
      </c>
      <c r="D34" s="615">
        <v>84572</v>
      </c>
      <c r="E34" s="617"/>
      <c r="F34" s="615"/>
      <c r="G34" s="617"/>
      <c r="H34" s="615">
        <v>0</v>
      </c>
      <c r="I34" s="652">
        <v>2898552</v>
      </c>
      <c r="J34" s="609"/>
      <c r="K34" s="654"/>
      <c r="L34" s="673"/>
      <c r="M34" s="633"/>
      <c r="N34" s="633"/>
      <c r="O34" s="633"/>
      <c r="P34" s="633"/>
      <c r="Q34" s="633"/>
      <c r="R34" s="634"/>
    </row>
    <row r="35" spans="1:18" ht="15.6" customHeight="1">
      <c r="A35" s="613" t="s">
        <v>410</v>
      </c>
      <c r="B35" s="615">
        <v>4280</v>
      </c>
      <c r="C35" s="615">
        <v>21560</v>
      </c>
      <c r="D35" s="615">
        <v>0</v>
      </c>
      <c r="E35" s="617"/>
      <c r="F35" s="615"/>
      <c r="G35" s="617"/>
      <c r="H35" s="615">
        <v>84360</v>
      </c>
      <c r="I35" s="652">
        <v>110200</v>
      </c>
      <c r="J35" s="609"/>
      <c r="K35" s="654"/>
      <c r="L35" s="673"/>
      <c r="M35" s="633"/>
      <c r="N35" s="633"/>
      <c r="O35" s="633"/>
      <c r="P35" s="633"/>
      <c r="Q35" s="633"/>
      <c r="R35" s="634"/>
    </row>
    <row r="36" spans="1:18" ht="15.6" customHeight="1">
      <c r="A36" s="613" t="s">
        <v>411</v>
      </c>
      <c r="B36" s="615">
        <v>85020</v>
      </c>
      <c r="C36" s="615">
        <v>332808</v>
      </c>
      <c r="D36" s="615">
        <v>20570</v>
      </c>
      <c r="E36" s="617"/>
      <c r="F36" s="615">
        <v>6000</v>
      </c>
      <c r="G36" s="617">
        <v>10310</v>
      </c>
      <c r="H36" s="615">
        <v>8504</v>
      </c>
      <c r="I36" s="652">
        <v>463212</v>
      </c>
      <c r="J36" s="609"/>
      <c r="K36" s="654"/>
      <c r="L36" s="673"/>
      <c r="M36" s="633"/>
      <c r="N36" s="633"/>
      <c r="O36" s="633"/>
      <c r="P36" s="633"/>
      <c r="Q36" s="633"/>
      <c r="R36" s="634"/>
    </row>
    <row r="37" spans="1:18" ht="15.6" customHeight="1">
      <c r="A37" s="613" t="s">
        <v>412</v>
      </c>
      <c r="B37" s="615">
        <v>4960</v>
      </c>
      <c r="C37" s="615">
        <v>16338</v>
      </c>
      <c r="D37" s="615">
        <v>1484</v>
      </c>
      <c r="E37" s="617"/>
      <c r="F37" s="615"/>
      <c r="G37" s="617"/>
      <c r="H37" s="615">
        <v>494.4</v>
      </c>
      <c r="I37" s="652">
        <v>23276.400000000001</v>
      </c>
      <c r="J37" s="609"/>
      <c r="K37" s="654"/>
      <c r="L37" s="673"/>
      <c r="M37" s="633"/>
      <c r="N37" s="633"/>
      <c r="O37" s="633"/>
      <c r="P37" s="633"/>
      <c r="Q37" s="633"/>
      <c r="R37" s="634"/>
    </row>
    <row r="38" spans="1:18" ht="15.6" customHeight="1">
      <c r="A38" s="613" t="s">
        <v>413</v>
      </c>
      <c r="B38" s="615">
        <v>126490</v>
      </c>
      <c r="C38" s="615">
        <v>594040</v>
      </c>
      <c r="D38" s="615">
        <v>25930.880000000001</v>
      </c>
      <c r="E38" s="617"/>
      <c r="F38" s="615"/>
      <c r="G38" s="617"/>
      <c r="H38" s="615">
        <v>46710</v>
      </c>
      <c r="I38" s="652">
        <v>793170.88</v>
      </c>
      <c r="J38" s="609"/>
      <c r="L38" s="673"/>
      <c r="M38" s="633"/>
      <c r="N38" s="633"/>
      <c r="O38" s="633"/>
      <c r="P38" s="633"/>
      <c r="Q38" s="633"/>
      <c r="R38" s="634"/>
    </row>
    <row r="39" spans="1:18" ht="15.6" customHeight="1">
      <c r="A39" s="613" t="s">
        <v>414</v>
      </c>
      <c r="B39" s="615">
        <v>126490</v>
      </c>
      <c r="C39" s="615">
        <v>594040</v>
      </c>
      <c r="D39" s="615">
        <v>25930</v>
      </c>
      <c r="E39" s="617"/>
      <c r="F39" s="615">
        <v>6000</v>
      </c>
      <c r="G39" s="617">
        <v>10310</v>
      </c>
      <c r="H39" s="615">
        <v>46710</v>
      </c>
      <c r="I39" s="652">
        <v>809480</v>
      </c>
      <c r="J39" s="609"/>
      <c r="L39" s="673"/>
      <c r="M39" s="633"/>
      <c r="N39" s="633"/>
      <c r="O39" s="633"/>
      <c r="P39" s="633"/>
      <c r="Q39" s="633"/>
      <c r="R39" s="634"/>
    </row>
    <row r="40" spans="1:18" ht="15.6" customHeight="1">
      <c r="A40" s="613" t="s">
        <v>415</v>
      </c>
      <c r="B40" s="639">
        <v>0</v>
      </c>
      <c r="C40" s="639">
        <v>852570</v>
      </c>
      <c r="D40" s="639">
        <v>0</v>
      </c>
      <c r="E40" s="641"/>
      <c r="F40" s="639"/>
      <c r="G40" s="641"/>
      <c r="H40" s="639">
        <v>0</v>
      </c>
      <c r="I40" s="655">
        <v>852570</v>
      </c>
      <c r="J40" s="609"/>
      <c r="L40" s="673"/>
      <c r="M40" s="633"/>
      <c r="N40" s="633"/>
      <c r="O40" s="633"/>
      <c r="P40" s="633"/>
      <c r="Q40" s="633"/>
      <c r="R40" s="634"/>
    </row>
    <row r="41" spans="1:18" ht="15.6" customHeight="1" thickBot="1">
      <c r="A41" s="637"/>
      <c r="B41" s="656">
        <v>13189820</v>
      </c>
      <c r="C41" s="656">
        <v>57638519</v>
      </c>
      <c r="D41" s="656">
        <v>2666946.88</v>
      </c>
      <c r="E41" s="656">
        <v>474150</v>
      </c>
      <c r="F41" s="656">
        <v>612000</v>
      </c>
      <c r="G41" s="656">
        <v>979450</v>
      </c>
      <c r="H41" s="656">
        <v>4772249.4000000004</v>
      </c>
      <c r="I41" s="656">
        <v>80333135.280000001</v>
      </c>
      <c r="J41" s="609"/>
      <c r="L41" s="672"/>
      <c r="M41" s="633"/>
      <c r="N41" s="633"/>
      <c r="O41" s="633"/>
      <c r="P41" s="633"/>
      <c r="Q41" s="633"/>
      <c r="R41" s="634"/>
    </row>
    <row r="42" spans="1:18" ht="15.6" customHeight="1" thickTop="1">
      <c r="A42" s="620"/>
      <c r="B42" s="615"/>
      <c r="C42" s="615"/>
      <c r="J42" s="609"/>
      <c r="L42" s="672"/>
      <c r="M42" s="633"/>
      <c r="N42" s="633"/>
      <c r="O42" s="633"/>
      <c r="P42" s="633"/>
      <c r="Q42" s="633"/>
      <c r="R42" s="634"/>
    </row>
    <row r="43" spans="1:18" ht="13.95" customHeight="1">
      <c r="A43" s="657" t="s">
        <v>416</v>
      </c>
      <c r="B43" s="658"/>
      <c r="C43" s="658"/>
      <c r="D43" s="659" t="s">
        <v>417</v>
      </c>
      <c r="E43" s="659" t="s">
        <v>418</v>
      </c>
      <c r="F43" s="659" t="s">
        <v>419</v>
      </c>
      <c r="G43" s="659" t="s">
        <v>420</v>
      </c>
      <c r="H43" s="659" t="s">
        <v>421</v>
      </c>
      <c r="I43" s="660"/>
      <c r="J43" s="609"/>
      <c r="L43" s="672"/>
      <c r="M43" s="633"/>
      <c r="N43" s="633"/>
      <c r="O43" s="633"/>
      <c r="P43" s="633"/>
      <c r="Q43" s="633"/>
      <c r="R43" s="634"/>
    </row>
    <row r="44" spans="1:18" ht="15.6" customHeight="1">
      <c r="A44" s="661" t="s">
        <v>422</v>
      </c>
      <c r="B44" s="649"/>
      <c r="C44" s="651"/>
      <c r="D44" s="649">
        <v>845600</v>
      </c>
      <c r="E44" s="649">
        <v>377400</v>
      </c>
      <c r="F44" s="649">
        <v>676500</v>
      </c>
      <c r="G44" s="649">
        <v>343400</v>
      </c>
      <c r="H44" s="649">
        <v>802800</v>
      </c>
      <c r="I44" s="651">
        <v>3045700</v>
      </c>
      <c r="J44" s="609"/>
      <c r="L44" s="673"/>
      <c r="M44" s="1121"/>
      <c r="N44" s="1121"/>
      <c r="O44" s="1121"/>
      <c r="P44" s="1121"/>
      <c r="Q44" s="1121"/>
      <c r="R44" s="1122"/>
    </row>
    <row r="45" spans="1:18" ht="15.6" customHeight="1">
      <c r="A45" s="662" t="s">
        <v>423</v>
      </c>
      <c r="B45" s="615"/>
      <c r="C45" s="652"/>
      <c r="D45" s="615">
        <v>44400</v>
      </c>
      <c r="E45" s="615">
        <v>44400</v>
      </c>
      <c r="F45" s="615">
        <v>44400</v>
      </c>
      <c r="G45" s="615">
        <v>44400</v>
      </c>
      <c r="H45" s="615">
        <v>133200</v>
      </c>
      <c r="I45" s="652">
        <v>310800</v>
      </c>
      <c r="J45" s="609"/>
      <c r="L45" s="672"/>
      <c r="M45" s="1121"/>
      <c r="N45" s="1121"/>
      <c r="O45" s="1121"/>
      <c r="P45" s="1121"/>
      <c r="Q45" s="1121"/>
      <c r="R45" s="1122"/>
    </row>
    <row r="46" spans="1:18" ht="15.6" customHeight="1">
      <c r="A46" s="662"/>
      <c r="B46" s="615"/>
      <c r="C46" s="652"/>
      <c r="D46" s="615"/>
      <c r="E46" s="615"/>
      <c r="F46" s="615"/>
      <c r="G46" s="615"/>
      <c r="H46" s="615"/>
      <c r="I46" s="652"/>
      <c r="J46" s="609"/>
      <c r="L46" s="672"/>
      <c r="M46" s="1121"/>
      <c r="N46" s="1121"/>
      <c r="O46" s="1121"/>
      <c r="P46" s="1121"/>
      <c r="Q46" s="1121"/>
      <c r="R46" s="1122"/>
    </row>
    <row r="47" spans="1:18" ht="15.6" customHeight="1">
      <c r="A47" s="662"/>
      <c r="B47" s="615"/>
      <c r="C47" s="652"/>
      <c r="D47" s="615"/>
      <c r="E47" s="615"/>
      <c r="F47" s="615"/>
      <c r="G47" s="615"/>
      <c r="H47" s="615"/>
      <c r="I47" s="652"/>
      <c r="J47" s="609"/>
      <c r="L47" s="672"/>
      <c r="M47" s="633"/>
      <c r="N47" s="633"/>
      <c r="O47" s="633"/>
      <c r="P47" s="633"/>
      <c r="Q47" s="633"/>
      <c r="R47" s="634"/>
    </row>
    <row r="48" spans="1:18" ht="15.6" customHeight="1">
      <c r="A48" s="662"/>
      <c r="B48" s="615"/>
      <c r="C48" s="652"/>
      <c r="D48" s="639"/>
      <c r="E48" s="639"/>
      <c r="F48" s="639"/>
      <c r="G48" s="639"/>
      <c r="H48" s="639"/>
      <c r="I48" s="655"/>
      <c r="J48" s="609"/>
      <c r="L48" s="672"/>
      <c r="M48" s="633"/>
      <c r="N48" s="633"/>
      <c r="O48" s="633"/>
      <c r="P48" s="633"/>
      <c r="Q48" s="633"/>
      <c r="R48" s="634"/>
    </row>
    <row r="49" spans="1:18" ht="15.6" customHeight="1" thickBot="1">
      <c r="A49" s="663"/>
      <c r="B49" s="639"/>
      <c r="C49" s="655"/>
      <c r="D49" s="656">
        <v>890000</v>
      </c>
      <c r="E49" s="656">
        <v>421800</v>
      </c>
      <c r="F49" s="656">
        <v>720900</v>
      </c>
      <c r="G49" s="656">
        <v>387800</v>
      </c>
      <c r="H49" s="656">
        <v>936000</v>
      </c>
      <c r="I49" s="656">
        <v>3356500</v>
      </c>
      <c r="J49" s="609"/>
      <c r="L49" s="672"/>
      <c r="M49" s="633"/>
      <c r="N49" s="633"/>
      <c r="O49" s="633"/>
      <c r="P49" s="633"/>
      <c r="Q49" s="633"/>
      <c r="R49" s="634"/>
    </row>
    <row r="50" spans="1:18" ht="15.6" customHeight="1" thickTop="1" thickBot="1">
      <c r="A50" s="664"/>
      <c r="B50" s="665"/>
      <c r="C50" s="665"/>
      <c r="D50" s="666"/>
      <c r="E50" s="666"/>
      <c r="F50" s="666"/>
      <c r="G50" s="666"/>
      <c r="H50" s="666"/>
      <c r="I50" s="666"/>
      <c r="J50" s="667"/>
      <c r="L50" s="266"/>
      <c r="M50" s="666"/>
      <c r="N50" s="666"/>
      <c r="O50" s="666"/>
      <c r="P50" s="666"/>
      <c r="Q50" s="666"/>
      <c r="R50" s="667"/>
    </row>
    <row r="51" spans="1:18" ht="31.2" customHeight="1">
      <c r="A51" s="668"/>
      <c r="B51" s="669" t="s">
        <v>424</v>
      </c>
      <c r="C51" s="670"/>
      <c r="D51" s="668"/>
      <c r="E51" s="668"/>
      <c r="F51" s="668"/>
      <c r="G51" s="668"/>
      <c r="H51" s="668"/>
      <c r="I51" s="668"/>
      <c r="J51" s="668"/>
      <c r="L51"/>
    </row>
    <row r="52" spans="1:18" ht="15.6" customHeight="1">
      <c r="L52"/>
    </row>
    <row r="53" spans="1:18" ht="15.6" customHeight="1">
      <c r="A53" s="600" t="s">
        <v>425</v>
      </c>
      <c r="L53"/>
    </row>
    <row r="54" spans="1:18" ht="15.6" customHeight="1">
      <c r="A54" s="600" t="s">
        <v>401</v>
      </c>
      <c r="B54" s="619">
        <v>47888190</v>
      </c>
      <c r="D54" s="600" t="s">
        <v>426</v>
      </c>
      <c r="L54"/>
    </row>
    <row r="55" spans="1:18" ht="15.6" customHeight="1">
      <c r="A55" s="600" t="s">
        <v>402</v>
      </c>
      <c r="B55" s="619">
        <v>3957890</v>
      </c>
      <c r="D55" s="600" t="s">
        <v>402</v>
      </c>
      <c r="L55"/>
    </row>
    <row r="56" spans="1:18" ht="15.6" customHeight="1">
      <c r="A56" s="600" t="s">
        <v>403</v>
      </c>
      <c r="B56" s="619">
        <v>2390720</v>
      </c>
      <c r="D56" s="600" t="s">
        <v>403</v>
      </c>
      <c r="L56"/>
    </row>
    <row r="57" spans="1:18" ht="15.6" customHeight="1">
      <c r="A57" s="600" t="s">
        <v>404</v>
      </c>
      <c r="B57" s="619">
        <v>348930</v>
      </c>
      <c r="D57" s="600" t="s">
        <v>405</v>
      </c>
      <c r="L57"/>
    </row>
    <row r="58" spans="1:18" ht="15.6" customHeight="1">
      <c r="A58" s="600" t="s">
        <v>405</v>
      </c>
      <c r="B58" s="619">
        <v>968167</v>
      </c>
      <c r="D58" s="600" t="s">
        <v>407</v>
      </c>
      <c r="L58"/>
    </row>
    <row r="59" spans="1:18" ht="15.6" customHeight="1">
      <c r="A59" s="600" t="s">
        <v>406</v>
      </c>
      <c r="B59" s="619">
        <v>1954181</v>
      </c>
      <c r="D59" s="600" t="s">
        <v>408</v>
      </c>
      <c r="L59"/>
    </row>
    <row r="60" spans="1:18" ht="15.6" customHeight="1">
      <c r="A60" s="600" t="s">
        <v>359</v>
      </c>
      <c r="B60" s="619">
        <v>2525725</v>
      </c>
      <c r="D60" s="600" t="s">
        <v>409</v>
      </c>
      <c r="L60"/>
    </row>
    <row r="61" spans="1:18" ht="15.6" customHeight="1">
      <c r="A61" s="600" t="s">
        <v>407</v>
      </c>
      <c r="B61" s="619">
        <v>135720</v>
      </c>
      <c r="D61" s="600" t="s">
        <v>410</v>
      </c>
      <c r="L61"/>
    </row>
    <row r="62" spans="1:18" ht="15.6" customHeight="1">
      <c r="A62" s="600" t="s">
        <v>408</v>
      </c>
      <c r="B62" s="619">
        <v>8068850</v>
      </c>
      <c r="D62" s="600" t="s">
        <v>411</v>
      </c>
      <c r="L62"/>
    </row>
    <row r="63" spans="1:18" ht="15.6" customHeight="1">
      <c r="A63" s="600" t="s">
        <v>409</v>
      </c>
      <c r="B63" s="619">
        <v>2898552</v>
      </c>
      <c r="D63" s="600" t="s">
        <v>412</v>
      </c>
      <c r="L63"/>
    </row>
    <row r="64" spans="1:18" ht="15.6" customHeight="1">
      <c r="A64" s="600" t="s">
        <v>410</v>
      </c>
      <c r="B64" s="619">
        <v>25840</v>
      </c>
      <c r="D64" s="600" t="s">
        <v>413</v>
      </c>
      <c r="L64"/>
    </row>
    <row r="65" spans="1:12" ht="15.6" customHeight="1">
      <c r="A65" s="600" t="s">
        <v>411</v>
      </c>
      <c r="B65" s="619">
        <v>438398</v>
      </c>
      <c r="D65" s="600" t="s">
        <v>414</v>
      </c>
      <c r="L65"/>
    </row>
    <row r="66" spans="1:12" ht="15.6" customHeight="1">
      <c r="A66" s="600" t="s">
        <v>412</v>
      </c>
      <c r="B66" s="619">
        <v>22782</v>
      </c>
      <c r="L66"/>
    </row>
    <row r="67" spans="1:12" ht="15.6" customHeight="1">
      <c r="A67" s="600" t="s">
        <v>413</v>
      </c>
      <c r="B67" s="619">
        <v>746460.88</v>
      </c>
      <c r="L67"/>
    </row>
    <row r="68" spans="1:12" ht="15.6" customHeight="1">
      <c r="A68" s="600" t="s">
        <v>414</v>
      </c>
      <c r="B68" s="619">
        <v>746460</v>
      </c>
      <c r="L68"/>
    </row>
    <row r="69" spans="1:12" ht="15.6" customHeight="1">
      <c r="L69"/>
    </row>
    <row r="70" spans="1:12" ht="15.6" customHeight="1">
      <c r="L70"/>
    </row>
    <row r="71" spans="1:12" ht="15.6" customHeight="1">
      <c r="L71"/>
    </row>
  </sheetData>
  <mergeCells count="2">
    <mergeCell ref="L1:M1"/>
    <mergeCell ref="M44:R4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F5F55-30F1-40C6-AB2D-04F177442DCB}">
  <sheetPr>
    <tabColor theme="1" tint="0.499984740745262"/>
  </sheetPr>
  <dimension ref="A1:O34"/>
  <sheetViews>
    <sheetView showGridLines="0" workbookViewId="0">
      <selection sqref="A1:J22"/>
    </sheetView>
  </sheetViews>
  <sheetFormatPr defaultColWidth="8.88671875" defaultRowHeight="14.4"/>
  <cols>
    <col min="2" max="2" width="5.5546875" customWidth="1"/>
    <col min="3" max="5" width="6" customWidth="1"/>
    <col min="6" max="8" width="15.109375" customWidth="1"/>
    <col min="9" max="9" width="28.88671875" customWidth="1"/>
    <col min="10" max="10" width="8.88671875" style="296"/>
    <col min="11" max="13" width="16.44140625" style="296" customWidth="1"/>
    <col min="14" max="14" width="37" style="296" customWidth="1"/>
    <col min="15" max="15" width="8.88671875" style="296"/>
  </cols>
  <sheetData>
    <row r="1" spans="1:15" ht="15.6" customHeight="1">
      <c r="A1" s="440"/>
      <c r="B1" s="1047" t="s">
        <v>262</v>
      </c>
      <c r="C1" s="442"/>
      <c r="D1" s="329"/>
      <c r="E1" s="330"/>
      <c r="F1" s="443" t="s">
        <v>85</v>
      </c>
      <c r="G1" s="331" t="s">
        <v>86</v>
      </c>
      <c r="H1" s="444" t="s">
        <v>251</v>
      </c>
      <c r="I1" s="445"/>
      <c r="O1"/>
    </row>
    <row r="2" spans="1:15" ht="15.6" customHeight="1">
      <c r="A2" s="440"/>
      <c r="B2" s="1048"/>
      <c r="C2" s="316" t="s">
        <v>270</v>
      </c>
      <c r="D2" s="306"/>
      <c r="E2" s="307"/>
      <c r="F2" s="847">
        <v>4.4999999999999998E-2</v>
      </c>
      <c r="G2" s="433">
        <v>4.3999999999999997E-2</v>
      </c>
      <c r="H2" s="434">
        <v>4.4999999999999998E-2</v>
      </c>
      <c r="I2" s="446" t="s">
        <v>271</v>
      </c>
      <c r="O2"/>
    </row>
    <row r="3" spans="1:15" ht="15.6" customHeight="1">
      <c r="B3" s="1048"/>
      <c r="C3" s="305"/>
      <c r="D3" s="306"/>
      <c r="E3" s="307"/>
      <c r="F3" s="322">
        <v>413000</v>
      </c>
      <c r="G3" s="309">
        <v>431172</v>
      </c>
      <c r="H3" s="309">
        <v>450575</v>
      </c>
      <c r="I3" s="337" t="s">
        <v>253</v>
      </c>
      <c r="J3" s="328"/>
    </row>
    <row r="4" spans="1:15" ht="15.6" customHeight="1">
      <c r="B4" s="1048"/>
      <c r="C4" s="305"/>
      <c r="D4" s="306"/>
      <c r="E4" s="307"/>
      <c r="F4" s="322">
        <v>4020160</v>
      </c>
      <c r="G4" s="309">
        <v>4197047</v>
      </c>
      <c r="H4" s="309">
        <v>4385914</v>
      </c>
      <c r="I4" s="337" t="s">
        <v>255</v>
      </c>
      <c r="J4" s="438"/>
    </row>
    <row r="5" spans="1:15" ht="15.6" customHeight="1">
      <c r="B5" s="1048"/>
      <c r="C5" s="305"/>
      <c r="D5" s="306"/>
      <c r="E5" s="307"/>
      <c r="F5" s="322">
        <v>636000</v>
      </c>
      <c r="G5" s="309">
        <v>663984</v>
      </c>
      <c r="H5" s="309">
        <v>693863</v>
      </c>
      <c r="I5" s="337" t="s">
        <v>255</v>
      </c>
      <c r="J5" s="328"/>
    </row>
    <row r="6" spans="1:15" ht="15.6" customHeight="1">
      <c r="B6" s="1048"/>
      <c r="C6" s="305"/>
      <c r="D6" s="306"/>
      <c r="E6" s="307"/>
      <c r="F6" s="322">
        <v>1035350</v>
      </c>
      <c r="G6" s="309">
        <v>1080905</v>
      </c>
      <c r="H6" s="309">
        <v>1129546</v>
      </c>
      <c r="I6" s="337" t="s">
        <v>255</v>
      </c>
      <c r="J6" s="328"/>
    </row>
    <row r="7" spans="1:15" ht="15.6" customHeight="1">
      <c r="B7" s="1048"/>
      <c r="C7" s="305"/>
      <c r="D7" s="306"/>
      <c r="E7" s="307"/>
      <c r="F7" s="322">
        <v>17750</v>
      </c>
      <c r="G7" s="309">
        <v>18531</v>
      </c>
      <c r="H7" s="309">
        <v>19365</v>
      </c>
      <c r="I7" s="337" t="s">
        <v>259</v>
      </c>
      <c r="J7" s="328"/>
    </row>
    <row r="8" spans="1:15" ht="15.6" customHeight="1">
      <c r="B8" s="1048"/>
      <c r="C8" s="305"/>
      <c r="D8" s="306"/>
      <c r="E8" s="307"/>
      <c r="F8" s="322">
        <v>2286270</v>
      </c>
      <c r="G8" s="309">
        <v>2386866</v>
      </c>
      <c r="H8" s="309">
        <v>2494275</v>
      </c>
      <c r="I8" s="337" t="s">
        <v>257</v>
      </c>
      <c r="J8" s="328"/>
    </row>
    <row r="9" spans="1:15">
      <c r="B9" s="1048"/>
      <c r="C9" s="310"/>
      <c r="D9" s="311"/>
      <c r="E9" s="312"/>
      <c r="F9" s="322">
        <v>0</v>
      </c>
      <c r="G9" s="309">
        <v>0</v>
      </c>
      <c r="H9" s="309">
        <v>0</v>
      </c>
      <c r="I9" s="337" t="s">
        <v>257</v>
      </c>
      <c r="O9"/>
    </row>
    <row r="10" spans="1:15" ht="15.6" customHeight="1">
      <c r="A10" s="441"/>
      <c r="B10" s="1048"/>
      <c r="C10" s="302" t="s">
        <v>250</v>
      </c>
      <c r="D10" s="303"/>
      <c r="E10" s="304"/>
      <c r="F10" s="738" t="s">
        <v>85</v>
      </c>
      <c r="G10" s="738" t="s">
        <v>86</v>
      </c>
      <c r="H10" s="738" t="s">
        <v>251</v>
      </c>
      <c r="I10" s="447" t="s">
        <v>252</v>
      </c>
      <c r="O10"/>
    </row>
    <row r="11" spans="1:15" ht="15.6" customHeight="1">
      <c r="A11" s="440"/>
      <c r="B11" s="1048"/>
      <c r="C11" s="305"/>
      <c r="D11" s="306"/>
      <c r="E11" s="307"/>
      <c r="F11" s="308">
        <v>-5158540</v>
      </c>
      <c r="G11" s="309">
        <v>-5385516</v>
      </c>
      <c r="H11" s="309">
        <v>-5627864</v>
      </c>
      <c r="I11" s="332" t="s">
        <v>253</v>
      </c>
      <c r="J11" s="439"/>
      <c r="O11"/>
    </row>
    <row r="12" spans="1:15" ht="15.6" customHeight="1">
      <c r="A12" s="440"/>
      <c r="B12" s="1048"/>
      <c r="C12" s="305"/>
      <c r="D12" s="306"/>
      <c r="E12" s="307"/>
      <c r="F12" s="308">
        <v>-1924703</v>
      </c>
      <c r="G12" s="309">
        <v>-2009390</v>
      </c>
      <c r="H12" s="309">
        <v>-2099813</v>
      </c>
      <c r="I12" s="332" t="s">
        <v>254</v>
      </c>
      <c r="J12" s="439"/>
      <c r="O12"/>
    </row>
    <row r="13" spans="1:15" ht="15.6" customHeight="1">
      <c r="B13" s="1048"/>
      <c r="C13" s="305"/>
      <c r="D13" s="306"/>
      <c r="E13" s="307"/>
      <c r="F13" s="308">
        <v>-14286179.816</v>
      </c>
      <c r="G13" s="309">
        <v>-14914772</v>
      </c>
      <c r="H13" s="309">
        <v>-15585937</v>
      </c>
      <c r="I13" s="332" t="s">
        <v>255</v>
      </c>
      <c r="J13" s="439"/>
    </row>
    <row r="14" spans="1:15" ht="15.6" customHeight="1">
      <c r="B14" s="1048"/>
      <c r="C14" s="305"/>
      <c r="D14" s="306"/>
      <c r="E14" s="307"/>
      <c r="F14" s="308">
        <v>-4750253.5839999998</v>
      </c>
      <c r="G14" s="309">
        <v>-4959265</v>
      </c>
      <c r="H14" s="309">
        <v>-5182432</v>
      </c>
      <c r="I14" s="332" t="s">
        <v>256</v>
      </c>
      <c r="J14" s="439"/>
    </row>
    <row r="15" spans="1:15" ht="15.6" customHeight="1">
      <c r="B15" s="1048"/>
      <c r="C15" s="305"/>
      <c r="D15" s="306"/>
      <c r="E15" s="307"/>
      <c r="F15" s="308">
        <v>-2323563</v>
      </c>
      <c r="G15" s="309">
        <v>-2425800</v>
      </c>
      <c r="H15" s="309">
        <v>-2534961</v>
      </c>
      <c r="I15" s="332" t="s">
        <v>257</v>
      </c>
      <c r="J15" s="439"/>
    </row>
    <row r="16" spans="1:15" ht="15.6" customHeight="1">
      <c r="B16" s="1048"/>
      <c r="C16" s="305"/>
      <c r="D16" s="306"/>
      <c r="E16" s="307"/>
      <c r="F16" s="308">
        <v>-4783878</v>
      </c>
      <c r="G16" s="309">
        <v>-4994369</v>
      </c>
      <c r="H16" s="309">
        <v>-5219116</v>
      </c>
      <c r="I16" s="332" t="s">
        <v>258</v>
      </c>
      <c r="J16" s="439"/>
    </row>
    <row r="17" spans="2:14" ht="15.6" customHeight="1">
      <c r="B17" s="1048"/>
      <c r="C17" s="305"/>
      <c r="D17" s="306"/>
      <c r="E17" s="307"/>
      <c r="F17" s="308">
        <v>-17750.75</v>
      </c>
      <c r="G17" s="309">
        <v>-18532</v>
      </c>
      <c r="H17" s="309">
        <v>-19366</v>
      </c>
      <c r="I17" s="332" t="s">
        <v>259</v>
      </c>
      <c r="J17" s="439"/>
    </row>
    <row r="18" spans="2:14" ht="15.6" customHeight="1">
      <c r="B18" s="1048"/>
      <c r="C18" s="310"/>
      <c r="D18" s="311"/>
      <c r="E18" s="312"/>
      <c r="F18" s="308">
        <v>0</v>
      </c>
      <c r="G18" s="309">
        <v>0</v>
      </c>
      <c r="H18" s="309">
        <v>0</v>
      </c>
      <c r="I18" s="333" t="s">
        <v>260</v>
      </c>
      <c r="J18" s="439"/>
    </row>
    <row r="19" spans="2:14" ht="16.2" customHeight="1" thickBot="1">
      <c r="B19" s="1048"/>
      <c r="C19" s="313"/>
      <c r="D19" s="303"/>
      <c r="E19" s="304"/>
      <c r="F19" s="314">
        <v>-24836338.149999999</v>
      </c>
      <c r="G19" s="314">
        <v>-25929138.956</v>
      </c>
      <c r="H19" s="314">
        <v>-27095950.954999998</v>
      </c>
      <c r="I19" s="334"/>
    </row>
    <row r="20" spans="2:14" ht="16.2" thickTop="1">
      <c r="B20" s="1048"/>
      <c r="C20" s="316" t="s">
        <v>261</v>
      </c>
      <c r="D20" s="306"/>
      <c r="E20" s="307"/>
      <c r="F20" s="296"/>
      <c r="G20" s="296"/>
      <c r="H20" s="296"/>
      <c r="I20" s="335"/>
    </row>
    <row r="21" spans="2:14" ht="15.6" customHeight="1">
      <c r="B21" s="1048"/>
      <c r="C21" s="305"/>
      <c r="D21" s="306"/>
      <c r="E21" s="307"/>
      <c r="F21" s="317" t="s">
        <v>85</v>
      </c>
      <c r="G21" s="317" t="s">
        <v>86</v>
      </c>
      <c r="H21" s="317" t="s">
        <v>251</v>
      </c>
      <c r="I21" s="336"/>
    </row>
    <row r="22" spans="2:14" ht="15.6" customHeight="1">
      <c r="B22" s="1048"/>
      <c r="C22" s="305">
        <v>0.99</v>
      </c>
      <c r="D22" s="306">
        <v>0.99</v>
      </c>
      <c r="E22" s="307">
        <v>0.99</v>
      </c>
      <c r="F22" s="308">
        <v>-4698080</v>
      </c>
      <c r="G22" s="309">
        <v>-4904800</v>
      </c>
      <c r="H22" s="318">
        <v>-5125520</v>
      </c>
      <c r="I22" s="332" t="s">
        <v>253</v>
      </c>
    </row>
    <row r="23" spans="2:14" ht="15.6" customHeight="1">
      <c r="B23" s="1048"/>
      <c r="C23" s="305">
        <v>0.95</v>
      </c>
      <c r="D23" s="306">
        <v>0.97</v>
      </c>
      <c r="E23" s="307">
        <v>0.98199999999999998</v>
      </c>
      <c r="F23" s="308">
        <v>-1828470</v>
      </c>
      <c r="G23" s="309">
        <v>-1949110</v>
      </c>
      <c r="H23" s="318">
        <v>-2062020</v>
      </c>
      <c r="I23" s="332" t="s">
        <v>254</v>
      </c>
    </row>
    <row r="24" spans="2:14" ht="15.6" customHeight="1">
      <c r="B24" s="1048"/>
      <c r="C24" s="305">
        <v>0.71550000000000002</v>
      </c>
      <c r="D24" s="306">
        <v>0.74</v>
      </c>
      <c r="E24" s="307">
        <v>0.78100000000000003</v>
      </c>
      <c r="F24" s="308">
        <v>-6149490</v>
      </c>
      <c r="G24" s="309">
        <v>-6639900</v>
      </c>
      <c r="H24" s="318">
        <v>-7323140</v>
      </c>
      <c r="I24" s="332" t="s">
        <v>255</v>
      </c>
      <c r="K24" s="328">
        <f>SUM(SUM(F13*0.7)-F24)</f>
        <v>-3850835.871199999</v>
      </c>
      <c r="L24" s="328">
        <f>SUM(SUM(G13*0.72)-G24)</f>
        <v>-4098735.84</v>
      </c>
      <c r="M24" s="328">
        <f>SUM(SUM(H13*0.8)-H24)</f>
        <v>-5145609.6000000015</v>
      </c>
    </row>
    <row r="25" spans="2:14" ht="15.6" customHeight="1">
      <c r="B25" s="1048"/>
      <c r="C25" s="305">
        <v>0.60399999999999998</v>
      </c>
      <c r="D25" s="306">
        <v>0.67190000000000005</v>
      </c>
      <c r="E25" s="307">
        <v>0.76</v>
      </c>
      <c r="F25" s="308">
        <v>-2869150</v>
      </c>
      <c r="G25" s="309">
        <v>-3332130</v>
      </c>
      <c r="H25" s="318">
        <v>-3938650</v>
      </c>
      <c r="I25" s="332" t="s">
        <v>256</v>
      </c>
      <c r="K25" s="328">
        <f>SUM(SUM(F14*0.7)-F25)</f>
        <v>-456027.50879999949</v>
      </c>
      <c r="L25" s="328">
        <f>SUM(SUM(G14*0.72)-G25)</f>
        <v>-238540.79999999981</v>
      </c>
      <c r="M25" s="328">
        <f>SUM(SUM(H14*0.8)-H25)</f>
        <v>-207295.60000000009</v>
      </c>
      <c r="N25" s="296" t="s">
        <v>267</v>
      </c>
    </row>
    <row r="26" spans="2:14" ht="15.6" customHeight="1">
      <c r="B26" s="1048"/>
      <c r="C26" s="305">
        <v>1</v>
      </c>
      <c r="D26" s="306">
        <v>1</v>
      </c>
      <c r="E26" s="307">
        <v>1</v>
      </c>
      <c r="F26" s="308">
        <v>-37290</v>
      </c>
      <c r="G26" s="309">
        <v>-38930</v>
      </c>
      <c r="H26" s="318">
        <v>-40690</v>
      </c>
      <c r="I26" s="332" t="s">
        <v>257</v>
      </c>
    </row>
    <row r="27" spans="2:14" ht="15.6" customHeight="1">
      <c r="B27" s="1048"/>
      <c r="C27" s="310">
        <v>1</v>
      </c>
      <c r="D27" s="311">
        <v>1</v>
      </c>
      <c r="E27" s="312">
        <v>1</v>
      </c>
      <c r="F27" s="308">
        <v>-4783880</v>
      </c>
      <c r="G27" s="309">
        <v>-4994370</v>
      </c>
      <c r="H27" s="318">
        <v>-5219120</v>
      </c>
      <c r="I27" s="333" t="s">
        <v>258</v>
      </c>
    </row>
    <row r="28" spans="2:14" ht="15.6" customHeight="1">
      <c r="B28" s="1048"/>
      <c r="C28" s="305"/>
      <c r="D28" s="306"/>
      <c r="E28" s="306"/>
      <c r="F28" s="319"/>
      <c r="G28" s="320"/>
      <c r="H28" s="321"/>
      <c r="I28" s="337"/>
    </row>
    <row r="29" spans="2:14" ht="15.6" customHeight="1">
      <c r="B29" s="1048"/>
      <c r="C29" s="305"/>
      <c r="D29" s="306"/>
      <c r="E29" s="306"/>
      <c r="F29" s="322"/>
      <c r="G29" s="309"/>
      <c r="H29" s="318"/>
      <c r="I29" s="338"/>
    </row>
    <row r="30" spans="2:14" ht="16.2" customHeight="1" thickBot="1">
      <c r="B30" s="1048"/>
      <c r="C30" s="305"/>
      <c r="D30" s="306"/>
      <c r="E30" s="306"/>
      <c r="F30" s="323">
        <v>-20366360</v>
      </c>
      <c r="G30" s="323">
        <v>-21859240</v>
      </c>
      <c r="H30" s="323">
        <v>-23709140</v>
      </c>
      <c r="I30" s="335"/>
    </row>
    <row r="31" spans="2:14" ht="16.2" customHeight="1" thickTop="1">
      <c r="B31" s="1048"/>
      <c r="C31" s="310"/>
      <c r="D31" s="311"/>
      <c r="E31" s="311"/>
      <c r="F31" s="324"/>
      <c r="G31" s="324"/>
      <c r="H31" s="324"/>
      <c r="I31" s="339"/>
    </row>
    <row r="32" spans="2:14" ht="15.6" customHeight="1">
      <c r="B32" s="1048"/>
      <c r="C32" s="325"/>
      <c r="D32" s="326"/>
      <c r="E32" s="326"/>
      <c r="F32" s="327">
        <v>-20366360</v>
      </c>
      <c r="G32" s="327">
        <v>-21859240</v>
      </c>
      <c r="H32" s="327">
        <v>-23709140</v>
      </c>
      <c r="I32" s="334"/>
    </row>
    <row r="33" spans="2:9" ht="15.6" customHeight="1">
      <c r="B33" s="1048"/>
      <c r="C33" s="305"/>
      <c r="D33" s="306"/>
      <c r="E33" s="306"/>
      <c r="F33" s="328">
        <v>-24836338.149999999</v>
      </c>
      <c r="G33" s="328">
        <v>-25929139</v>
      </c>
      <c r="H33" s="328">
        <v>-27095951</v>
      </c>
      <c r="I33" s="335"/>
    </row>
    <row r="34" spans="2:9" ht="15.6" customHeight="1" thickBot="1">
      <c r="B34" s="1049"/>
      <c r="C34" s="340"/>
      <c r="D34" s="341"/>
      <c r="E34" s="341"/>
      <c r="F34" s="342">
        <v>0.82002265700348431</v>
      </c>
      <c r="G34" s="342">
        <v>0.84303763422302602</v>
      </c>
      <c r="H34" s="342">
        <v>0.87500674916337129</v>
      </c>
      <c r="I34" s="343"/>
    </row>
  </sheetData>
  <mergeCells count="1">
    <mergeCell ref="B1:B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6C05F-B62C-412D-8410-C1B5BC92F9FD}">
  <sheetPr>
    <tabColor theme="1" tint="0.499984740745262"/>
  </sheetPr>
  <dimension ref="A1:Z66"/>
  <sheetViews>
    <sheetView showGridLines="0" topLeftCell="A10" workbookViewId="0">
      <selection sqref="A1:J22"/>
    </sheetView>
  </sheetViews>
  <sheetFormatPr defaultColWidth="8.88671875" defaultRowHeight="11.4"/>
  <cols>
    <col min="1" max="1" width="8.88671875" style="296"/>
    <col min="2" max="2" width="52.6640625" style="296" customWidth="1"/>
    <col min="3" max="19" width="0" style="296" hidden="1" customWidth="1"/>
    <col min="20" max="20" width="8.88671875" style="296"/>
    <col min="21" max="23" width="0" style="296" hidden="1" customWidth="1"/>
    <col min="24" max="26" width="16.6640625" style="296" customWidth="1"/>
    <col min="27" max="16384" width="8.88671875" style="296"/>
  </cols>
  <sheetData>
    <row r="1" spans="1:26" ht="16.95" customHeight="1">
      <c r="B1" s="448" t="s">
        <v>272</v>
      </c>
      <c r="G1" s="431"/>
      <c r="X1" s="739">
        <v>7.4700000000000003E-2</v>
      </c>
      <c r="Y1" s="740">
        <v>7.0000000000000007E-2</v>
      </c>
      <c r="Z1" s="740">
        <v>0.08</v>
      </c>
    </row>
    <row r="2" spans="1:26" ht="14.4" customHeight="1">
      <c r="A2" s="452" t="s">
        <v>275</v>
      </c>
      <c r="B2" s="451" t="s">
        <v>276</v>
      </c>
      <c r="C2" s="451" t="s">
        <v>277</v>
      </c>
      <c r="D2" s="453" t="s">
        <v>278</v>
      </c>
      <c r="E2" s="454" t="s">
        <v>279</v>
      </c>
      <c r="F2" s="453" t="s">
        <v>280</v>
      </c>
      <c r="G2" s="455"/>
      <c r="H2" s="456">
        <v>44763</v>
      </c>
      <c r="I2" s="456">
        <v>44794</v>
      </c>
      <c r="J2" s="456">
        <v>44825</v>
      </c>
      <c r="K2" s="456">
        <v>44855</v>
      </c>
      <c r="L2" s="456">
        <v>44886</v>
      </c>
      <c r="M2" s="456">
        <v>44916</v>
      </c>
      <c r="N2" s="456">
        <v>44947</v>
      </c>
      <c r="O2" s="456">
        <v>44978</v>
      </c>
      <c r="P2" s="456">
        <v>45006</v>
      </c>
      <c r="Q2" s="456">
        <v>45037</v>
      </c>
      <c r="R2" s="456">
        <v>45067</v>
      </c>
      <c r="S2" s="456">
        <v>45098</v>
      </c>
      <c r="X2" s="457" t="s">
        <v>85</v>
      </c>
      <c r="Y2" s="458" t="s">
        <v>86</v>
      </c>
      <c r="Z2" s="459" t="s">
        <v>251</v>
      </c>
    </row>
    <row r="3" spans="1:26" ht="14.4" hidden="1" customHeight="1">
      <c r="A3" s="462">
        <v>1020</v>
      </c>
      <c r="B3" s="463" t="s">
        <v>281</v>
      </c>
      <c r="C3" s="296" t="s">
        <v>282</v>
      </c>
      <c r="D3" s="431">
        <v>0</v>
      </c>
      <c r="E3" s="464">
        <v>-1500</v>
      </c>
      <c r="F3" s="465">
        <v>-924</v>
      </c>
      <c r="G3" s="466"/>
    </row>
    <row r="4" spans="1:26" ht="14.4" customHeight="1">
      <c r="A4" s="462">
        <v>1020</v>
      </c>
      <c r="B4" s="463" t="s">
        <v>281</v>
      </c>
      <c r="C4" s="296" t="s">
        <v>282</v>
      </c>
      <c r="D4" s="431">
        <v>-3490</v>
      </c>
      <c r="E4" s="467">
        <v>0</v>
      </c>
      <c r="F4" s="465">
        <v>0</v>
      </c>
      <c r="G4" s="466">
        <v>-2500</v>
      </c>
      <c r="H4" s="468">
        <v>-208.33333333333334</v>
      </c>
      <c r="I4" s="468">
        <v>-208.33333333333334</v>
      </c>
      <c r="J4" s="468">
        <v>-208.33333333333334</v>
      </c>
      <c r="K4" s="468">
        <v>-208.33333333333334</v>
      </c>
      <c r="L4" s="468">
        <v>-208.33333333333334</v>
      </c>
      <c r="M4" s="468">
        <v>-208.33333333333334</v>
      </c>
      <c r="N4" s="468">
        <v>-208.33333333333334</v>
      </c>
      <c r="O4" s="468">
        <v>-208.33333333333334</v>
      </c>
      <c r="P4" s="468">
        <v>-208.33333333333334</v>
      </c>
      <c r="Q4" s="468">
        <v>-208.33333333333334</v>
      </c>
      <c r="R4" s="468">
        <v>-208.33333333333334</v>
      </c>
      <c r="S4" s="468">
        <v>-208.33333333333334</v>
      </c>
      <c r="T4" s="296" t="s">
        <v>283</v>
      </c>
      <c r="X4" s="469">
        <v>-2500</v>
      </c>
      <c r="Y4" s="470">
        <v>-2680</v>
      </c>
      <c r="Z4" s="470">
        <v>-2890</v>
      </c>
    </row>
    <row r="5" spans="1:26" ht="14.4" hidden="1" customHeight="1">
      <c r="A5" s="462"/>
      <c r="B5" s="471"/>
      <c r="D5" s="431"/>
      <c r="E5" s="464"/>
      <c r="F5" s="465"/>
      <c r="G5" s="466"/>
      <c r="K5" s="468"/>
      <c r="L5" s="468"/>
      <c r="M5" s="468"/>
      <c r="N5" s="468"/>
      <c r="O5" s="468"/>
      <c r="P5" s="468"/>
      <c r="Q5" s="468"/>
      <c r="R5" s="468"/>
      <c r="S5" s="468"/>
      <c r="X5" s="472"/>
      <c r="Y5" s="437"/>
      <c r="Z5" s="437"/>
    </row>
    <row r="6" spans="1:26" ht="14.4" customHeight="1">
      <c r="A6" s="462">
        <v>1020</v>
      </c>
      <c r="B6" s="463" t="s">
        <v>284</v>
      </c>
      <c r="C6" s="296" t="s">
        <v>285</v>
      </c>
      <c r="D6" s="431">
        <v>-65000</v>
      </c>
      <c r="E6" s="464">
        <v>-40000</v>
      </c>
      <c r="F6" s="465">
        <v>-29479.579999999998</v>
      </c>
      <c r="G6" s="466">
        <v>-90000</v>
      </c>
      <c r="H6" s="468">
        <v>-7500</v>
      </c>
      <c r="I6" s="468">
        <v>-7500</v>
      </c>
      <c r="J6" s="468">
        <v>-7500</v>
      </c>
      <c r="K6" s="468">
        <v>-7500</v>
      </c>
      <c r="L6" s="468">
        <v>-7500</v>
      </c>
      <c r="M6" s="468">
        <v>-7500</v>
      </c>
      <c r="N6" s="468">
        <v>-7500</v>
      </c>
      <c r="O6" s="468">
        <v>-7500</v>
      </c>
      <c r="P6" s="468">
        <v>-7500</v>
      </c>
      <c r="Q6" s="468">
        <v>-7500</v>
      </c>
      <c r="R6" s="468">
        <v>-7500</v>
      </c>
      <c r="S6" s="468">
        <v>-7500</v>
      </c>
      <c r="T6" s="296" t="s">
        <v>283</v>
      </c>
      <c r="X6" s="472">
        <v>-90000</v>
      </c>
      <c r="Y6" s="437">
        <v>-96300</v>
      </c>
      <c r="Z6" s="437">
        <v>-104000</v>
      </c>
    </row>
    <row r="7" spans="1:26" ht="14.4" customHeight="1">
      <c r="A7" s="462">
        <v>1020</v>
      </c>
      <c r="B7" s="463" t="s">
        <v>286</v>
      </c>
      <c r="C7" s="296" t="s">
        <v>287</v>
      </c>
      <c r="D7" s="431">
        <v>-802670</v>
      </c>
      <c r="E7" s="467">
        <v>0</v>
      </c>
      <c r="F7" s="465">
        <v>0</v>
      </c>
      <c r="G7" s="466">
        <v>-1020840</v>
      </c>
      <c r="H7" s="431">
        <v>-91110</v>
      </c>
      <c r="I7" s="431">
        <v>-101830</v>
      </c>
      <c r="J7" s="431">
        <v>-100710</v>
      </c>
      <c r="K7" s="431">
        <v>-78910</v>
      </c>
      <c r="L7" s="431">
        <v>-74340</v>
      </c>
      <c r="M7" s="431">
        <v>-76230</v>
      </c>
      <c r="N7" s="431">
        <v>-77090</v>
      </c>
      <c r="O7" s="431">
        <v>-78800</v>
      </c>
      <c r="P7" s="431">
        <v>-69940</v>
      </c>
      <c r="Q7" s="431">
        <v>-85970</v>
      </c>
      <c r="R7" s="431">
        <v>-74150</v>
      </c>
      <c r="S7" s="431">
        <v>-111760</v>
      </c>
      <c r="T7" s="296" t="s">
        <v>283</v>
      </c>
      <c r="X7" s="472">
        <v>-1020840</v>
      </c>
      <c r="Y7" s="437">
        <v>-1092300</v>
      </c>
      <c r="Z7" s="437">
        <v>-1179680</v>
      </c>
    </row>
    <row r="8" spans="1:26" ht="14.4" customHeight="1">
      <c r="A8" s="462">
        <v>1020</v>
      </c>
      <c r="B8" s="463" t="s">
        <v>288</v>
      </c>
      <c r="C8" s="296" t="s">
        <v>289</v>
      </c>
      <c r="D8" s="431">
        <v>0</v>
      </c>
      <c r="E8" s="464">
        <v>-5670000</v>
      </c>
      <c r="F8" s="465">
        <v>-3411660.62</v>
      </c>
      <c r="G8" s="466">
        <v>-5086440</v>
      </c>
      <c r="H8" s="431">
        <v>-345350</v>
      </c>
      <c r="I8" s="431">
        <v>-423000</v>
      </c>
      <c r="J8" s="431">
        <v>-413920</v>
      </c>
      <c r="K8" s="431">
        <v>-370750</v>
      </c>
      <c r="L8" s="431">
        <v>-299790</v>
      </c>
      <c r="M8" s="431">
        <v>-323920</v>
      </c>
      <c r="N8" s="431">
        <v>-341960</v>
      </c>
      <c r="O8" s="431">
        <v>-444510</v>
      </c>
      <c r="P8" s="431">
        <v>-637400</v>
      </c>
      <c r="Q8" s="431">
        <v>-720770</v>
      </c>
      <c r="R8" s="431">
        <v>-446300</v>
      </c>
      <c r="S8" s="431">
        <v>-318770</v>
      </c>
      <c r="T8" s="296" t="s">
        <v>283</v>
      </c>
      <c r="X8" s="472">
        <v>-5086440</v>
      </c>
      <c r="Y8" s="437">
        <v>-5442490</v>
      </c>
      <c r="Z8" s="437">
        <v>-5877890</v>
      </c>
    </row>
    <row r="9" spans="1:26" ht="14.4" customHeight="1">
      <c r="A9" s="462">
        <v>1020</v>
      </c>
      <c r="B9" s="463" t="s">
        <v>290</v>
      </c>
      <c r="C9" s="296" t="s">
        <v>291</v>
      </c>
      <c r="D9" s="431">
        <v>-6240000</v>
      </c>
      <c r="E9" s="467">
        <v>0</v>
      </c>
      <c r="F9" s="465">
        <v>0</v>
      </c>
      <c r="G9" s="466">
        <v>-7378540</v>
      </c>
      <c r="H9" s="431">
        <v>-557710</v>
      </c>
      <c r="I9" s="431">
        <v>-689270</v>
      </c>
      <c r="J9" s="431">
        <v>-664970</v>
      </c>
      <c r="K9" s="431">
        <v>-609780</v>
      </c>
      <c r="L9" s="431">
        <v>-540170</v>
      </c>
      <c r="M9" s="431">
        <v>-518020</v>
      </c>
      <c r="N9" s="431">
        <v>-708290</v>
      </c>
      <c r="O9" s="431">
        <v>-596220</v>
      </c>
      <c r="P9" s="431">
        <v>-613630</v>
      </c>
      <c r="Q9" s="431">
        <v>-642320</v>
      </c>
      <c r="R9" s="431">
        <v>-579640</v>
      </c>
      <c r="S9" s="431">
        <v>-658520</v>
      </c>
      <c r="T9" s="296" t="s">
        <v>283</v>
      </c>
      <c r="X9" s="472">
        <v>-7378540</v>
      </c>
      <c r="Y9" s="437">
        <v>-7895040</v>
      </c>
      <c r="Z9" s="437">
        <v>-8526640</v>
      </c>
    </row>
    <row r="10" spans="1:26" ht="14.4" customHeight="1">
      <c r="A10" s="462">
        <v>1020</v>
      </c>
      <c r="B10" s="463" t="s">
        <v>293</v>
      </c>
      <c r="C10" s="296" t="s">
        <v>294</v>
      </c>
      <c r="D10" s="431">
        <v>-2390000</v>
      </c>
      <c r="E10" s="464">
        <v>0</v>
      </c>
      <c r="F10" s="465">
        <v>0</v>
      </c>
      <c r="G10" s="466">
        <v>-2459550</v>
      </c>
      <c r="H10" s="431">
        <v>-248290</v>
      </c>
      <c r="I10" s="431">
        <v>-284140</v>
      </c>
      <c r="J10" s="431">
        <v>-235680</v>
      </c>
      <c r="K10" s="431">
        <v>-246340</v>
      </c>
      <c r="L10" s="431">
        <v>-187140</v>
      </c>
      <c r="M10" s="431">
        <v>-190190</v>
      </c>
      <c r="N10" s="431">
        <v>-239690</v>
      </c>
      <c r="O10" s="431">
        <v>-214110</v>
      </c>
      <c r="P10" s="431">
        <v>-205960</v>
      </c>
      <c r="Q10" s="431">
        <v>-196670</v>
      </c>
      <c r="R10" s="431">
        <v>-161490</v>
      </c>
      <c r="S10" s="431">
        <v>-49850</v>
      </c>
      <c r="T10" s="296" t="s">
        <v>283</v>
      </c>
      <c r="X10" s="472">
        <v>-2459550</v>
      </c>
      <c r="Y10" s="437">
        <v>-2631720</v>
      </c>
      <c r="Z10" s="437">
        <v>-2842260</v>
      </c>
    </row>
    <row r="11" spans="1:26" ht="14.4" customHeight="1">
      <c r="A11" s="462">
        <v>1020</v>
      </c>
      <c r="B11" s="463" t="s">
        <v>295</v>
      </c>
      <c r="C11" s="296" t="s">
        <v>296</v>
      </c>
      <c r="D11" s="431">
        <v>3563570</v>
      </c>
      <c r="E11" s="464">
        <v>3563570</v>
      </c>
      <c r="F11" s="465">
        <v>2078570</v>
      </c>
      <c r="G11" s="466">
        <v>4006860</v>
      </c>
      <c r="H11" s="473">
        <v>377150</v>
      </c>
      <c r="I11" s="473">
        <v>377150</v>
      </c>
      <c r="J11" s="473">
        <v>319490</v>
      </c>
      <c r="K11" s="473">
        <v>319490</v>
      </c>
      <c r="L11" s="473">
        <v>319490</v>
      </c>
      <c r="M11" s="473">
        <v>319490</v>
      </c>
      <c r="N11" s="473">
        <v>319490</v>
      </c>
      <c r="O11" s="473">
        <v>319490</v>
      </c>
      <c r="P11" s="473">
        <v>319490</v>
      </c>
      <c r="Q11" s="473">
        <v>319490</v>
      </c>
      <c r="R11" s="473">
        <v>319490</v>
      </c>
      <c r="S11" s="473">
        <v>377150</v>
      </c>
      <c r="T11" s="474" t="s">
        <v>297</v>
      </c>
      <c r="U11" s="474"/>
      <c r="V11" s="474"/>
      <c r="W11" s="474"/>
      <c r="X11" s="472">
        <v>4006860</v>
      </c>
      <c r="Y11" s="437">
        <v>4287340</v>
      </c>
      <c r="Z11" s="437">
        <v>4630330</v>
      </c>
    </row>
    <row r="12" spans="1:26" ht="14.4" customHeight="1">
      <c r="A12" s="462">
        <v>1020</v>
      </c>
      <c r="B12" s="463" t="s">
        <v>298</v>
      </c>
      <c r="C12" s="296" t="s">
        <v>299</v>
      </c>
      <c r="D12" s="431">
        <v>-17485000</v>
      </c>
      <c r="E12" s="464">
        <v>-17000000</v>
      </c>
      <c r="F12" s="465">
        <v>-10071547.800000001</v>
      </c>
      <c r="G12" s="466">
        <v>-19037610</v>
      </c>
      <c r="H12" s="431">
        <v>-1792630</v>
      </c>
      <c r="I12" s="431">
        <v>-1746030</v>
      </c>
      <c r="J12" s="431">
        <v>-1515210</v>
      </c>
      <c r="K12" s="431">
        <v>-1463220</v>
      </c>
      <c r="L12" s="431">
        <v>-1437470</v>
      </c>
      <c r="M12" s="431">
        <v>-1607860</v>
      </c>
      <c r="N12" s="431">
        <v>-1657440</v>
      </c>
      <c r="O12" s="431">
        <v>-1476690</v>
      </c>
      <c r="P12" s="431">
        <v>-1564480</v>
      </c>
      <c r="Q12" s="431">
        <v>-1492900</v>
      </c>
      <c r="R12" s="431">
        <v>-1617820</v>
      </c>
      <c r="S12" s="431">
        <v>-1665860</v>
      </c>
      <c r="T12" s="474" t="s">
        <v>297</v>
      </c>
      <c r="U12" s="474"/>
      <c r="V12" s="474"/>
      <c r="W12" s="474"/>
      <c r="X12" s="472">
        <v>-19037610</v>
      </c>
      <c r="Y12" s="437">
        <v>-20370240</v>
      </c>
      <c r="Z12" s="437">
        <v>-21999860</v>
      </c>
    </row>
    <row r="13" spans="1:26" ht="14.4" customHeight="1">
      <c r="A13" s="462">
        <v>1020</v>
      </c>
      <c r="B13" s="463" t="s">
        <v>298</v>
      </c>
      <c r="C13" s="296" t="s">
        <v>299</v>
      </c>
      <c r="D13" s="431">
        <v>-3563570</v>
      </c>
      <c r="E13" s="464">
        <v>-3563570</v>
      </c>
      <c r="F13" s="465">
        <v>-2078570</v>
      </c>
      <c r="G13" s="466">
        <v>-4006860</v>
      </c>
      <c r="H13" s="473">
        <v>-377150</v>
      </c>
      <c r="I13" s="473">
        <v>-377150</v>
      </c>
      <c r="J13" s="473">
        <v>-319490</v>
      </c>
      <c r="K13" s="473">
        <v>-319490</v>
      </c>
      <c r="L13" s="473">
        <v>-319490</v>
      </c>
      <c r="M13" s="473">
        <v>-319490</v>
      </c>
      <c r="N13" s="473">
        <v>-319490</v>
      </c>
      <c r="O13" s="473">
        <v>-319490</v>
      </c>
      <c r="P13" s="473">
        <v>-319490</v>
      </c>
      <c r="Q13" s="473">
        <v>-319490</v>
      </c>
      <c r="R13" s="473">
        <v>-319490</v>
      </c>
      <c r="S13" s="473">
        <v>-377150</v>
      </c>
      <c r="T13" s="474" t="s">
        <v>297</v>
      </c>
      <c r="U13" s="474"/>
      <c r="V13" s="474"/>
      <c r="W13" s="474"/>
      <c r="X13" s="472">
        <v>-4006860</v>
      </c>
      <c r="Y13" s="437">
        <v>-4287340</v>
      </c>
      <c r="Z13" s="437">
        <v>-4630330</v>
      </c>
    </row>
    <row r="14" spans="1:26" ht="14.4" hidden="1" customHeight="1">
      <c r="A14" s="462">
        <v>1020</v>
      </c>
      <c r="B14" s="463" t="s">
        <v>300</v>
      </c>
      <c r="C14" s="296" t="s">
        <v>301</v>
      </c>
      <c r="D14" s="431">
        <v>0</v>
      </c>
      <c r="E14" s="464">
        <v>-2260000</v>
      </c>
      <c r="F14" s="465">
        <v>-1644540.6</v>
      </c>
      <c r="G14" s="466"/>
      <c r="H14" s="431">
        <v>0</v>
      </c>
      <c r="I14" s="431">
        <v>0</v>
      </c>
      <c r="J14" s="431">
        <v>0</v>
      </c>
      <c r="K14" s="431">
        <v>0</v>
      </c>
      <c r="L14" s="431">
        <v>0</v>
      </c>
      <c r="M14" s="431">
        <v>0</v>
      </c>
      <c r="N14" s="431">
        <v>0</v>
      </c>
      <c r="O14" s="431">
        <v>0</v>
      </c>
      <c r="P14" s="431">
        <v>0</v>
      </c>
      <c r="Q14" s="431">
        <v>0</v>
      </c>
      <c r="R14" s="431">
        <v>0</v>
      </c>
      <c r="S14" s="431">
        <v>0</v>
      </c>
      <c r="T14" s="296" t="s">
        <v>283</v>
      </c>
      <c r="X14" s="472">
        <v>0</v>
      </c>
      <c r="Y14" s="437">
        <v>0</v>
      </c>
      <c r="Z14" s="437">
        <v>0</v>
      </c>
    </row>
    <row r="15" spans="1:26" ht="14.4" hidden="1" customHeight="1">
      <c r="A15" s="462">
        <v>1020</v>
      </c>
      <c r="B15" s="463" t="s">
        <v>300</v>
      </c>
      <c r="C15" s="296" t="s">
        <v>301</v>
      </c>
      <c r="D15" s="431">
        <v>-392000</v>
      </c>
      <c r="E15" s="464">
        <v>0</v>
      </c>
      <c r="F15" s="465">
        <v>0</v>
      </c>
      <c r="G15" s="466"/>
      <c r="H15" s="431">
        <v>0</v>
      </c>
      <c r="I15" s="431">
        <v>0</v>
      </c>
      <c r="J15" s="431">
        <v>0</v>
      </c>
      <c r="K15" s="431">
        <v>0</v>
      </c>
      <c r="L15" s="431">
        <v>0</v>
      </c>
      <c r="M15" s="431">
        <v>0</v>
      </c>
      <c r="N15" s="431">
        <v>0</v>
      </c>
      <c r="O15" s="431">
        <v>0</v>
      </c>
      <c r="P15" s="431">
        <v>0</v>
      </c>
      <c r="Q15" s="431">
        <v>0</v>
      </c>
      <c r="R15" s="431">
        <v>0</v>
      </c>
      <c r="S15" s="431">
        <v>0</v>
      </c>
      <c r="T15" s="296" t="s">
        <v>283</v>
      </c>
      <c r="X15" s="472">
        <v>0</v>
      </c>
      <c r="Y15" s="437">
        <v>0</v>
      </c>
      <c r="Z15" s="437">
        <v>0</v>
      </c>
    </row>
    <row r="16" spans="1:26" ht="14.4" customHeight="1">
      <c r="A16" s="462">
        <v>1020</v>
      </c>
      <c r="B16" s="463" t="s">
        <v>300</v>
      </c>
      <c r="C16" s="296" t="s">
        <v>301</v>
      </c>
      <c r="D16" s="431">
        <v>0</v>
      </c>
      <c r="E16" s="467">
        <v>24390</v>
      </c>
      <c r="F16" s="465">
        <v>13920.949999999999</v>
      </c>
      <c r="G16" s="466">
        <v>-593170</v>
      </c>
      <c r="H16" s="431">
        <v>-45560</v>
      </c>
      <c r="I16" s="431">
        <v>-47040</v>
      </c>
      <c r="J16" s="431">
        <v>-41130</v>
      </c>
      <c r="K16" s="431">
        <v>-28040</v>
      </c>
      <c r="L16" s="431">
        <v>-34010</v>
      </c>
      <c r="M16" s="431">
        <v>-28120</v>
      </c>
      <c r="N16" s="431">
        <v>-28080</v>
      </c>
      <c r="O16" s="431">
        <v>-38580</v>
      </c>
      <c r="P16" s="431">
        <v>-34390</v>
      </c>
      <c r="Q16" s="431">
        <v>-33740</v>
      </c>
      <c r="R16" s="431">
        <v>-28130</v>
      </c>
      <c r="S16" s="431">
        <v>-206350</v>
      </c>
      <c r="T16" s="296" t="s">
        <v>283</v>
      </c>
      <c r="X16" s="472">
        <v>-593170</v>
      </c>
      <c r="Y16" s="437">
        <v>-634690</v>
      </c>
      <c r="Z16" s="437">
        <v>-685470</v>
      </c>
    </row>
    <row r="17" spans="1:26" ht="14.4" hidden="1" customHeight="1">
      <c r="A17" s="462">
        <v>1020</v>
      </c>
      <c r="B17" s="463" t="s">
        <v>288</v>
      </c>
      <c r="C17" s="296" t="s">
        <v>289</v>
      </c>
      <c r="D17" s="431">
        <v>-5310000</v>
      </c>
      <c r="E17" s="464">
        <v>0</v>
      </c>
      <c r="F17" s="465">
        <v>0</v>
      </c>
      <c r="G17" s="466"/>
      <c r="H17" s="431">
        <v>0</v>
      </c>
      <c r="I17" s="431">
        <v>0</v>
      </c>
      <c r="J17" s="431">
        <v>0</v>
      </c>
      <c r="K17" s="431">
        <v>0</v>
      </c>
      <c r="L17" s="431">
        <v>0</v>
      </c>
      <c r="M17" s="431">
        <v>0</v>
      </c>
      <c r="N17" s="431">
        <v>0</v>
      </c>
      <c r="O17" s="431">
        <v>0</v>
      </c>
      <c r="P17" s="431">
        <v>0</v>
      </c>
      <c r="Q17" s="431">
        <v>0</v>
      </c>
      <c r="R17" s="431">
        <v>0</v>
      </c>
      <c r="S17" s="431">
        <v>0</v>
      </c>
      <c r="T17" s="296" t="s">
        <v>283</v>
      </c>
      <c r="X17" s="472">
        <v>0</v>
      </c>
      <c r="Y17" s="437">
        <v>0</v>
      </c>
      <c r="Z17" s="437">
        <v>0</v>
      </c>
    </row>
    <row r="18" spans="1:26" ht="14.4" hidden="1" customHeight="1">
      <c r="A18" s="462">
        <v>1020</v>
      </c>
      <c r="B18" s="463" t="s">
        <v>302</v>
      </c>
      <c r="C18" s="296" t="s">
        <v>303</v>
      </c>
      <c r="D18" s="431">
        <v>0</v>
      </c>
      <c r="E18" s="464">
        <v>-9800000</v>
      </c>
      <c r="F18" s="465">
        <v>-5704953.3499999996</v>
      </c>
      <c r="G18" s="466"/>
      <c r="H18" s="431">
        <v>0</v>
      </c>
      <c r="I18" s="431">
        <v>0</v>
      </c>
      <c r="J18" s="431">
        <v>0</v>
      </c>
      <c r="K18" s="431">
        <v>0</v>
      </c>
      <c r="L18" s="431">
        <v>0</v>
      </c>
      <c r="M18" s="431">
        <v>0</v>
      </c>
      <c r="N18" s="431">
        <v>0</v>
      </c>
      <c r="O18" s="431">
        <v>0</v>
      </c>
      <c r="P18" s="431">
        <v>0</v>
      </c>
      <c r="Q18" s="431">
        <v>0</v>
      </c>
      <c r="R18" s="431">
        <v>0</v>
      </c>
      <c r="S18" s="431">
        <v>0</v>
      </c>
      <c r="T18" s="296" t="s">
        <v>283</v>
      </c>
      <c r="X18" s="472">
        <v>0</v>
      </c>
      <c r="Y18" s="437">
        <v>0</v>
      </c>
      <c r="Z18" s="437">
        <v>0</v>
      </c>
    </row>
    <row r="19" spans="1:26" ht="14.4" customHeight="1">
      <c r="A19" s="462">
        <v>1020</v>
      </c>
      <c r="B19" s="463" t="s">
        <v>302</v>
      </c>
      <c r="C19" s="296" t="s">
        <v>303</v>
      </c>
      <c r="D19" s="431">
        <v>-34410240</v>
      </c>
      <c r="E19" s="467">
        <v>-26300000</v>
      </c>
      <c r="F19" s="465">
        <v>-16142606.929999998</v>
      </c>
      <c r="G19" s="466">
        <v>-33259180</v>
      </c>
      <c r="H19" s="431">
        <v>-2910220</v>
      </c>
      <c r="I19" s="431">
        <v>-3398310</v>
      </c>
      <c r="J19" s="431">
        <v>-3725200</v>
      </c>
      <c r="K19" s="431">
        <v>-2555800</v>
      </c>
      <c r="L19" s="431">
        <v>-2568890</v>
      </c>
      <c r="M19" s="431">
        <v>-2548380</v>
      </c>
      <c r="N19" s="431">
        <v>-2945420</v>
      </c>
      <c r="O19" s="431">
        <v>-2932140</v>
      </c>
      <c r="P19" s="431">
        <v>-2822090</v>
      </c>
      <c r="Q19" s="431">
        <v>-2805740</v>
      </c>
      <c r="R19" s="431">
        <v>-2822700</v>
      </c>
      <c r="S19" s="431">
        <v>-2452090</v>
      </c>
      <c r="T19" s="296" t="s">
        <v>283</v>
      </c>
      <c r="X19" s="472">
        <v>-33259180</v>
      </c>
      <c r="Y19" s="437">
        <v>-35587320</v>
      </c>
      <c r="Z19" s="437">
        <v>-38434310</v>
      </c>
    </row>
    <row r="20" spans="1:26" ht="14.4" customHeight="1">
      <c r="A20" s="462">
        <v>1020</v>
      </c>
      <c r="B20" s="463" t="s">
        <v>305</v>
      </c>
      <c r="C20" s="296" t="s">
        <v>306</v>
      </c>
      <c r="D20" s="431">
        <v>-847440</v>
      </c>
      <c r="E20" s="467">
        <v>-1500000</v>
      </c>
      <c r="F20" s="465">
        <v>-915479.27</v>
      </c>
      <c r="G20" s="466">
        <v>-1575000</v>
      </c>
      <c r="H20" s="468">
        <v>-131250</v>
      </c>
      <c r="I20" s="468">
        <v>-131250</v>
      </c>
      <c r="J20" s="468">
        <v>-131250</v>
      </c>
      <c r="K20" s="468">
        <v>-131250</v>
      </c>
      <c r="L20" s="468">
        <v>-131250</v>
      </c>
      <c r="M20" s="468">
        <v>-131250</v>
      </c>
      <c r="N20" s="468">
        <v>-131250</v>
      </c>
      <c r="O20" s="468">
        <v>-131250</v>
      </c>
      <c r="P20" s="468">
        <v>-131250</v>
      </c>
      <c r="Q20" s="468">
        <v>-131250</v>
      </c>
      <c r="R20" s="468">
        <v>-131250</v>
      </c>
      <c r="S20" s="468">
        <v>-131250</v>
      </c>
      <c r="T20" s="296" t="s">
        <v>283</v>
      </c>
      <c r="X20" s="472">
        <v>-1575000</v>
      </c>
      <c r="Y20" s="437">
        <v>-1685250</v>
      </c>
      <c r="Z20" s="437">
        <v>-1820070</v>
      </c>
    </row>
    <row r="21" spans="1:26" ht="14.4" customHeight="1">
      <c r="E21" s="328">
        <v>-62547110</v>
      </c>
      <c r="G21" s="431"/>
      <c r="X21" s="475"/>
      <c r="Y21" s="476"/>
      <c r="Z21" s="476"/>
    </row>
    <row r="22" spans="1:26" ht="14.4" customHeight="1" thickBot="1">
      <c r="F22" s="431">
        <v>-71730630</v>
      </c>
      <c r="G22" s="477">
        <v>-70502830</v>
      </c>
      <c r="X22" s="478">
        <v>-70502830</v>
      </c>
      <c r="Y22" s="478">
        <v>-75438030</v>
      </c>
      <c r="Z22" s="478">
        <v>-81473070</v>
      </c>
    </row>
    <row r="23" spans="1:26" ht="14.4" hidden="1" customHeight="1">
      <c r="G23" s="431"/>
      <c r="J23" s="431"/>
    </row>
    <row r="24" spans="1:26" ht="14.4" hidden="1" customHeight="1">
      <c r="G24" s="431">
        <v>-68835330</v>
      </c>
      <c r="J24" s="431"/>
    </row>
    <row r="25" spans="1:26" ht="14.4" hidden="1" customHeight="1">
      <c r="G25" s="431">
        <v>68834870</v>
      </c>
      <c r="J25" s="431"/>
    </row>
    <row r="26" spans="1:26" ht="14.4" hidden="1" customHeight="1">
      <c r="G26" s="431">
        <v>-460</v>
      </c>
      <c r="J26" s="431"/>
    </row>
    <row r="27" spans="1:26" ht="14.4" customHeight="1" thickTop="1">
      <c r="F27" s="328">
        <v>-1227800</v>
      </c>
      <c r="G27" s="479"/>
      <c r="H27" s="456">
        <v>44763</v>
      </c>
      <c r="I27" s="456">
        <v>44794</v>
      </c>
      <c r="J27" s="456">
        <v>44825</v>
      </c>
      <c r="K27" s="456">
        <v>44855</v>
      </c>
      <c r="L27" s="456">
        <v>44886</v>
      </c>
      <c r="M27" s="456">
        <v>44916</v>
      </c>
      <c r="N27" s="456">
        <v>44947</v>
      </c>
      <c r="O27" s="456">
        <v>44978</v>
      </c>
      <c r="P27" s="456">
        <v>45006</v>
      </c>
      <c r="Q27" s="456">
        <v>45037</v>
      </c>
      <c r="R27" s="456">
        <v>45067</v>
      </c>
      <c r="S27" s="456">
        <v>45098</v>
      </c>
    </row>
    <row r="28" spans="1:26" ht="14.4" customHeight="1" thickBot="1">
      <c r="B28" s="480" t="s">
        <v>307</v>
      </c>
      <c r="C28" s="481"/>
      <c r="D28" s="481"/>
      <c r="E28" s="296" t="s">
        <v>308</v>
      </c>
      <c r="G28" s="482">
        <v>58023710</v>
      </c>
      <c r="H28" s="483">
        <v>5259140</v>
      </c>
      <c r="I28" s="483">
        <v>6639870</v>
      </c>
      <c r="J28" s="483">
        <v>6231080</v>
      </c>
      <c r="K28" s="483">
        <v>4360020</v>
      </c>
      <c r="L28" s="483">
        <v>4142540</v>
      </c>
      <c r="M28" s="483">
        <v>4082940</v>
      </c>
      <c r="N28" s="483">
        <v>4506990</v>
      </c>
      <c r="O28" s="483">
        <v>4850020</v>
      </c>
      <c r="P28" s="483">
        <v>4487350</v>
      </c>
      <c r="Q28" s="483">
        <v>4453190</v>
      </c>
      <c r="R28" s="483">
        <v>4359460</v>
      </c>
      <c r="S28" s="483">
        <v>4651110</v>
      </c>
      <c r="T28" s="484"/>
      <c r="U28" s="484"/>
      <c r="V28" s="484"/>
      <c r="W28" s="484"/>
      <c r="X28" s="485">
        <v>58023710</v>
      </c>
      <c r="Y28" s="485">
        <v>61389085.18</v>
      </c>
      <c r="Z28" s="485">
        <v>64765484.864899993</v>
      </c>
    </row>
    <row r="29" spans="1:26" ht="15" hidden="1" customHeight="1">
      <c r="B29" s="486"/>
      <c r="G29" s="431"/>
      <c r="J29" s="431"/>
      <c r="X29" s="328"/>
      <c r="Y29" s="328"/>
      <c r="Z29" s="328"/>
    </row>
    <row r="30" spans="1:26" ht="14.4" hidden="1" customHeight="1">
      <c r="B30" s="486"/>
      <c r="G30" s="431"/>
      <c r="J30" s="431"/>
    </row>
    <row r="31" spans="1:26" ht="14.4" hidden="1" customHeight="1">
      <c r="B31" s="487" t="s">
        <v>309</v>
      </c>
      <c r="E31" s="296" t="s">
        <v>310</v>
      </c>
      <c r="G31" s="477">
        <v>-13706920</v>
      </c>
      <c r="H31" s="488">
        <v>-870688.33333333302</v>
      </c>
      <c r="I31" s="488">
        <v>-188708.33333333395</v>
      </c>
      <c r="J31" s="488">
        <v>-604698.33333333302</v>
      </c>
      <c r="K31" s="488">
        <v>-1131778.333333333</v>
      </c>
      <c r="L31" s="488">
        <v>-1138228.333333333</v>
      </c>
      <c r="M31" s="488">
        <v>-1348738.333333333</v>
      </c>
      <c r="N31" s="488">
        <v>-1629938.333333333</v>
      </c>
      <c r="O31" s="488">
        <v>-1069988.333333334</v>
      </c>
      <c r="P31" s="488">
        <v>-1599498.333333334</v>
      </c>
      <c r="Q31" s="488">
        <v>-1663878.333333334</v>
      </c>
      <c r="R31" s="488">
        <v>-1509728.333333334</v>
      </c>
      <c r="S31" s="488">
        <v>-951048.33333333302</v>
      </c>
    </row>
    <row r="32" spans="1:26" ht="14.4" customHeight="1" thickTop="1">
      <c r="G32" s="431"/>
      <c r="J32" s="431"/>
    </row>
    <row r="33" spans="1:26" ht="14.4" customHeight="1">
      <c r="B33" s="448" t="s">
        <v>311</v>
      </c>
      <c r="G33" s="431"/>
      <c r="J33" s="431"/>
    </row>
    <row r="34" spans="1:26" ht="14.4" customHeight="1">
      <c r="A34" s="452" t="s">
        <v>275</v>
      </c>
      <c r="B34" s="451" t="s">
        <v>276</v>
      </c>
      <c r="C34" s="451" t="s">
        <v>277</v>
      </c>
      <c r="D34" s="453" t="s">
        <v>278</v>
      </c>
      <c r="E34" s="454" t="s">
        <v>279</v>
      </c>
      <c r="F34" s="453" t="s">
        <v>280</v>
      </c>
      <c r="G34" s="455"/>
      <c r="H34" s="456">
        <v>44763</v>
      </c>
      <c r="I34" s="456">
        <v>44794</v>
      </c>
      <c r="J34" s="456">
        <v>44825</v>
      </c>
      <c r="K34" s="456">
        <v>44855</v>
      </c>
      <c r="L34" s="456">
        <v>44886</v>
      </c>
      <c r="M34" s="456">
        <v>44916</v>
      </c>
      <c r="N34" s="456">
        <v>44947</v>
      </c>
      <c r="O34" s="456">
        <v>44978</v>
      </c>
      <c r="P34" s="456">
        <v>45006</v>
      </c>
      <c r="Q34" s="456">
        <v>45037</v>
      </c>
      <c r="R34" s="456">
        <v>45067</v>
      </c>
      <c r="S34" s="456">
        <v>45098</v>
      </c>
      <c r="X34" s="457" t="s">
        <v>85</v>
      </c>
      <c r="Y34" s="458" t="s">
        <v>86</v>
      </c>
      <c r="Z34" s="459" t="s">
        <v>251</v>
      </c>
    </row>
    <row r="35" spans="1:26" ht="14.4" customHeight="1">
      <c r="A35" s="449">
        <v>1</v>
      </c>
      <c r="B35" s="463" t="s">
        <v>281</v>
      </c>
      <c r="C35" s="296" t="s">
        <v>282</v>
      </c>
      <c r="D35" s="431">
        <v>-3490</v>
      </c>
      <c r="E35" s="467">
        <v>0</v>
      </c>
      <c r="F35" s="465">
        <v>0</v>
      </c>
      <c r="G35" s="466">
        <v>-2500</v>
      </c>
      <c r="H35" s="468">
        <v>-208.33333333333334</v>
      </c>
      <c r="I35" s="468">
        <v>-208.33333333333334</v>
      </c>
      <c r="J35" s="468">
        <v>-208.33333333333334</v>
      </c>
      <c r="K35" s="468">
        <v>-208.33333333333334</v>
      </c>
      <c r="L35" s="468">
        <v>-208.33333333333334</v>
      </c>
      <c r="M35" s="468">
        <v>-208.33333333333334</v>
      </c>
      <c r="N35" s="468">
        <v>-208.33333333333334</v>
      </c>
      <c r="O35" s="468">
        <v>-208.33333333333334</v>
      </c>
      <c r="P35" s="468">
        <v>-208.33333333333334</v>
      </c>
      <c r="Q35" s="468">
        <v>-208.33333333333334</v>
      </c>
      <c r="R35" s="468">
        <v>-208.33333333333334</v>
      </c>
      <c r="S35" s="468">
        <v>-208.33333333333334</v>
      </c>
      <c r="T35" s="296" t="s">
        <v>283</v>
      </c>
      <c r="U35" s="489">
        <v>1</v>
      </c>
      <c r="V35" s="490">
        <v>1</v>
      </c>
      <c r="W35" s="490">
        <v>1</v>
      </c>
      <c r="X35" s="491">
        <v>-2500</v>
      </c>
      <c r="Y35" s="492">
        <v>-2680</v>
      </c>
      <c r="Z35" s="493">
        <v>-2890</v>
      </c>
    </row>
    <row r="36" spans="1:26" ht="14.4" hidden="1" customHeight="1">
      <c r="A36" s="449"/>
      <c r="B36" s="463"/>
      <c r="D36" s="431"/>
      <c r="E36" s="464"/>
      <c r="F36" s="465"/>
      <c r="G36" s="466"/>
      <c r="K36" s="468"/>
      <c r="L36" s="468"/>
      <c r="M36" s="468"/>
      <c r="N36" s="468"/>
      <c r="O36" s="468"/>
      <c r="P36" s="468"/>
      <c r="Q36" s="468"/>
      <c r="R36" s="468"/>
      <c r="S36" s="468"/>
      <c r="T36" s="296" t="s">
        <v>283</v>
      </c>
      <c r="U36" s="494"/>
      <c r="V36" s="495"/>
      <c r="W36" s="495"/>
      <c r="X36" s="496"/>
      <c r="Y36" s="497"/>
      <c r="Z36" s="498"/>
    </row>
    <row r="37" spans="1:26" ht="14.4" customHeight="1">
      <c r="A37" s="449">
        <v>1</v>
      </c>
      <c r="B37" s="463" t="s">
        <v>284</v>
      </c>
      <c r="C37" s="296" t="s">
        <v>285</v>
      </c>
      <c r="D37" s="431">
        <v>-65000</v>
      </c>
      <c r="E37" s="464">
        <v>-40000</v>
      </c>
      <c r="F37" s="465">
        <v>-29479.579999999998</v>
      </c>
      <c r="G37" s="466">
        <v>-90000</v>
      </c>
      <c r="H37" s="468">
        <v>-7500</v>
      </c>
      <c r="I37" s="468">
        <v>-7500</v>
      </c>
      <c r="J37" s="468">
        <v>-7500</v>
      </c>
      <c r="K37" s="468">
        <v>-7500</v>
      </c>
      <c r="L37" s="468">
        <v>-7500</v>
      </c>
      <c r="M37" s="468">
        <v>-7500</v>
      </c>
      <c r="N37" s="468">
        <v>-7500</v>
      </c>
      <c r="O37" s="468">
        <v>-7500</v>
      </c>
      <c r="P37" s="468">
        <v>-7500</v>
      </c>
      <c r="Q37" s="468">
        <v>-7500</v>
      </c>
      <c r="R37" s="468">
        <v>-7500</v>
      </c>
      <c r="S37" s="468">
        <v>-7500</v>
      </c>
      <c r="T37" s="296" t="s">
        <v>283</v>
      </c>
      <c r="U37" s="494">
        <v>1</v>
      </c>
      <c r="V37" s="495">
        <v>1</v>
      </c>
      <c r="W37" s="495">
        <v>1</v>
      </c>
      <c r="X37" s="496">
        <v>-90000</v>
      </c>
      <c r="Y37" s="497">
        <v>-96300</v>
      </c>
      <c r="Z37" s="498">
        <v>-104000</v>
      </c>
    </row>
    <row r="38" spans="1:26" ht="14.4" customHeight="1">
      <c r="A38" s="449">
        <v>0.95</v>
      </c>
      <c r="B38" s="463" t="s">
        <v>286</v>
      </c>
      <c r="C38" s="296" t="s">
        <v>287</v>
      </c>
      <c r="D38" s="431">
        <v>-802670</v>
      </c>
      <c r="E38" s="467">
        <v>0</v>
      </c>
      <c r="F38" s="465">
        <v>0</v>
      </c>
      <c r="G38" s="466">
        <v>-984480.5</v>
      </c>
      <c r="H38" s="431">
        <v>-91110</v>
      </c>
      <c r="I38" s="431">
        <v>-101830</v>
      </c>
      <c r="J38" s="431">
        <v>-100710</v>
      </c>
      <c r="K38" s="431">
        <v>-74964.5</v>
      </c>
      <c r="L38" s="431">
        <v>-70623</v>
      </c>
      <c r="M38" s="431">
        <v>-72418.5</v>
      </c>
      <c r="N38" s="431">
        <v>-73235.5</v>
      </c>
      <c r="O38" s="431">
        <v>-74860</v>
      </c>
      <c r="P38" s="431">
        <v>-66443</v>
      </c>
      <c r="Q38" s="431">
        <v>-81671.5</v>
      </c>
      <c r="R38" s="431">
        <v>-70442.5</v>
      </c>
      <c r="S38" s="431">
        <v>-106172</v>
      </c>
      <c r="T38" s="296" t="s">
        <v>283</v>
      </c>
      <c r="U38" s="494">
        <v>0.95</v>
      </c>
      <c r="V38" s="495">
        <v>0.98</v>
      </c>
      <c r="W38" s="495">
        <v>0.98</v>
      </c>
      <c r="X38" s="496">
        <v>-984480.5</v>
      </c>
      <c r="Y38" s="497">
        <v>-1070450</v>
      </c>
      <c r="Z38" s="498">
        <v>-1156090</v>
      </c>
    </row>
    <row r="39" spans="1:26" ht="14.4" customHeight="1">
      <c r="A39" s="449">
        <v>0.96</v>
      </c>
      <c r="B39" s="463" t="s">
        <v>288</v>
      </c>
      <c r="C39" s="296" t="s">
        <v>289</v>
      </c>
      <c r="D39" s="431">
        <v>0</v>
      </c>
      <c r="E39" s="464">
        <v>-5670000</v>
      </c>
      <c r="F39" s="465">
        <v>-3411660.62</v>
      </c>
      <c r="G39" s="466">
        <v>-4930273.2</v>
      </c>
      <c r="H39" s="431">
        <v>-345350</v>
      </c>
      <c r="I39" s="431">
        <v>-423000</v>
      </c>
      <c r="J39" s="431">
        <v>-413920</v>
      </c>
      <c r="K39" s="431">
        <v>-355920</v>
      </c>
      <c r="L39" s="431">
        <v>-287798.39999999997</v>
      </c>
      <c r="M39" s="431">
        <v>-310963.20000000001</v>
      </c>
      <c r="N39" s="431">
        <v>-328281.59999999998</v>
      </c>
      <c r="O39" s="431">
        <v>-426729.6</v>
      </c>
      <c r="P39" s="431">
        <v>-611904</v>
      </c>
      <c r="Q39" s="431">
        <v>-691939.2</v>
      </c>
      <c r="R39" s="431">
        <v>-428448</v>
      </c>
      <c r="S39" s="431">
        <v>-306019.20000000001</v>
      </c>
      <c r="T39" s="296" t="s">
        <v>283</v>
      </c>
      <c r="U39" s="494">
        <v>0.96</v>
      </c>
      <c r="V39" s="495">
        <v>0.98</v>
      </c>
      <c r="W39" s="495">
        <v>0.98</v>
      </c>
      <c r="X39" s="496">
        <v>-4930273.2</v>
      </c>
      <c r="Y39" s="497">
        <v>-5333640</v>
      </c>
      <c r="Z39" s="498">
        <v>-5760330</v>
      </c>
    </row>
    <row r="40" spans="1:26" ht="14.4" customHeight="1">
      <c r="A40" s="449">
        <v>0.95</v>
      </c>
      <c r="B40" s="463" t="s">
        <v>290</v>
      </c>
      <c r="C40" s="296" t="s">
        <v>291</v>
      </c>
      <c r="D40" s="431">
        <v>-6240000</v>
      </c>
      <c r="E40" s="467">
        <v>0</v>
      </c>
      <c r="F40" s="465">
        <v>0</v>
      </c>
      <c r="G40" s="466">
        <v>-7105210.5</v>
      </c>
      <c r="H40" s="431">
        <v>-557710</v>
      </c>
      <c r="I40" s="431">
        <v>-689270</v>
      </c>
      <c r="J40" s="431">
        <v>-664970</v>
      </c>
      <c r="K40" s="431">
        <v>-579291</v>
      </c>
      <c r="L40" s="431">
        <v>-513161.5</v>
      </c>
      <c r="M40" s="431">
        <v>-492119</v>
      </c>
      <c r="N40" s="431">
        <v>-672875.5</v>
      </c>
      <c r="O40" s="431">
        <v>-566409</v>
      </c>
      <c r="P40" s="431">
        <v>-582948.5</v>
      </c>
      <c r="Q40" s="431">
        <v>-610204</v>
      </c>
      <c r="R40" s="431">
        <v>-550658</v>
      </c>
      <c r="S40" s="431">
        <v>-625594</v>
      </c>
      <c r="T40" s="296" t="s">
        <v>283</v>
      </c>
      <c r="U40" s="494">
        <v>0.95</v>
      </c>
      <c r="V40" s="495">
        <v>0.98</v>
      </c>
      <c r="W40" s="495">
        <v>0.98</v>
      </c>
      <c r="X40" s="496">
        <v>-7105210.5</v>
      </c>
      <c r="Y40" s="497">
        <v>-7737140</v>
      </c>
      <c r="Z40" s="498">
        <v>-8356110</v>
      </c>
    </row>
    <row r="41" spans="1:26" ht="14.4" customHeight="1">
      <c r="A41" s="449">
        <v>0.82</v>
      </c>
      <c r="B41" s="463" t="s">
        <v>293</v>
      </c>
      <c r="C41" s="296" t="s">
        <v>294</v>
      </c>
      <c r="D41" s="431">
        <v>-2390000</v>
      </c>
      <c r="E41" s="464">
        <v>0</v>
      </c>
      <c r="F41" s="465">
        <v>0</v>
      </c>
      <c r="G41" s="466">
        <v>-2155090.7999999998</v>
      </c>
      <c r="H41" s="431">
        <v>-248290</v>
      </c>
      <c r="I41" s="431">
        <v>-284140</v>
      </c>
      <c r="J41" s="431">
        <v>-235680</v>
      </c>
      <c r="K41" s="431">
        <v>-201998.8</v>
      </c>
      <c r="L41" s="431">
        <v>-153454.79999999999</v>
      </c>
      <c r="M41" s="431">
        <v>-155955.79999999999</v>
      </c>
      <c r="N41" s="431">
        <v>-196545.8</v>
      </c>
      <c r="O41" s="431">
        <v>-175570.19999999998</v>
      </c>
      <c r="P41" s="431">
        <v>-168887.19999999998</v>
      </c>
      <c r="Q41" s="431">
        <v>-161269.4</v>
      </c>
      <c r="R41" s="431">
        <v>-132421.79999999999</v>
      </c>
      <c r="S41" s="431">
        <v>-40877</v>
      </c>
      <c r="T41" s="296" t="s">
        <v>283</v>
      </c>
      <c r="U41" s="494">
        <v>0.82</v>
      </c>
      <c r="V41" s="495">
        <v>0.9</v>
      </c>
      <c r="W41" s="495">
        <v>0.9</v>
      </c>
      <c r="X41" s="496">
        <v>-2155090.7999999998</v>
      </c>
      <c r="Y41" s="497">
        <v>-2368550</v>
      </c>
      <c r="Z41" s="498">
        <v>-2558030</v>
      </c>
    </row>
    <row r="42" spans="1:26" ht="14.4" hidden="1" customHeight="1">
      <c r="A42" s="449"/>
      <c r="B42" s="463"/>
      <c r="D42" s="431"/>
      <c r="E42" s="464"/>
      <c r="F42" s="465"/>
      <c r="G42" s="466"/>
      <c r="H42" s="473"/>
      <c r="I42" s="473"/>
      <c r="J42" s="473"/>
      <c r="K42" s="473"/>
      <c r="L42" s="473"/>
      <c r="M42" s="473"/>
      <c r="N42" s="473"/>
      <c r="O42" s="473"/>
      <c r="P42" s="473"/>
      <c r="Q42" s="473"/>
      <c r="R42" s="473"/>
      <c r="S42" s="473"/>
      <c r="U42" s="494"/>
      <c r="V42" s="495"/>
      <c r="W42" s="495"/>
      <c r="X42" s="496"/>
      <c r="Z42" s="499"/>
    </row>
    <row r="43" spans="1:26" ht="14.4" customHeight="1">
      <c r="A43" s="449">
        <v>1</v>
      </c>
      <c r="B43" s="463" t="s">
        <v>298</v>
      </c>
      <c r="C43" s="296" t="s">
        <v>299</v>
      </c>
      <c r="D43" s="431">
        <v>-17485000</v>
      </c>
      <c r="E43" s="464">
        <v>-17000000</v>
      </c>
      <c r="F43" s="465">
        <v>-10071547.800000001</v>
      </c>
      <c r="G43" s="466">
        <v>-19037610</v>
      </c>
      <c r="H43" s="431">
        <v>-1792630</v>
      </c>
      <c r="I43" s="431">
        <v>-1746030</v>
      </c>
      <c r="J43" s="431">
        <v>-1515210</v>
      </c>
      <c r="K43" s="431">
        <v>-1463220</v>
      </c>
      <c r="L43" s="431">
        <v>-1437470</v>
      </c>
      <c r="M43" s="431">
        <v>-1607860</v>
      </c>
      <c r="N43" s="431">
        <v>-1657440</v>
      </c>
      <c r="O43" s="431">
        <v>-1476690</v>
      </c>
      <c r="P43" s="431">
        <v>-1564480</v>
      </c>
      <c r="Q43" s="431">
        <v>-1492900</v>
      </c>
      <c r="R43" s="431">
        <v>-1617820</v>
      </c>
      <c r="S43" s="431">
        <v>-1665860</v>
      </c>
      <c r="T43" s="296" t="s">
        <v>297</v>
      </c>
      <c r="U43" s="494">
        <v>1</v>
      </c>
      <c r="V43" s="495">
        <v>1</v>
      </c>
      <c r="W43" s="495">
        <v>1</v>
      </c>
      <c r="X43" s="496">
        <v>-19037610</v>
      </c>
      <c r="Y43" s="497">
        <v>-20370240</v>
      </c>
      <c r="Z43" s="498">
        <v>-21999860</v>
      </c>
    </row>
    <row r="44" spans="1:26" ht="14.4" hidden="1" customHeight="1">
      <c r="A44" s="449"/>
      <c r="B44" s="463"/>
      <c r="D44" s="431"/>
      <c r="E44" s="464"/>
      <c r="F44" s="465"/>
      <c r="G44" s="466"/>
      <c r="H44" s="473"/>
      <c r="I44" s="473"/>
      <c r="J44" s="473"/>
      <c r="K44" s="473"/>
      <c r="L44" s="473"/>
      <c r="M44" s="473"/>
      <c r="N44" s="473"/>
      <c r="O44" s="473"/>
      <c r="P44" s="473"/>
      <c r="Q44" s="473"/>
      <c r="R44" s="473"/>
      <c r="S44" s="473"/>
      <c r="U44" s="494"/>
      <c r="V44" s="495"/>
      <c r="W44" s="495"/>
      <c r="X44" s="496"/>
      <c r="Z44" s="499"/>
    </row>
    <row r="45" spans="1:26" ht="14.4" hidden="1" customHeight="1">
      <c r="A45" s="449"/>
      <c r="B45" s="463" t="s">
        <v>300</v>
      </c>
      <c r="C45" s="296" t="s">
        <v>301</v>
      </c>
      <c r="D45" s="431">
        <v>0</v>
      </c>
      <c r="E45" s="464">
        <v>-2260000</v>
      </c>
      <c r="F45" s="465">
        <v>-1644540.6</v>
      </c>
      <c r="G45" s="466">
        <v>0</v>
      </c>
      <c r="H45" s="431">
        <v>0</v>
      </c>
      <c r="I45" s="431">
        <v>0</v>
      </c>
      <c r="J45" s="431">
        <v>0</v>
      </c>
      <c r="K45" s="431">
        <v>0</v>
      </c>
      <c r="L45" s="431">
        <v>0</v>
      </c>
      <c r="M45" s="431">
        <v>0</v>
      </c>
      <c r="N45" s="431">
        <v>0</v>
      </c>
      <c r="O45" s="431">
        <v>0</v>
      </c>
      <c r="P45" s="431">
        <v>0</v>
      </c>
      <c r="Q45" s="431">
        <v>0</v>
      </c>
      <c r="R45" s="431">
        <v>0</v>
      </c>
      <c r="S45" s="431">
        <v>0</v>
      </c>
      <c r="U45" s="494"/>
      <c r="V45" s="495"/>
      <c r="W45" s="495"/>
      <c r="X45" s="496">
        <v>0</v>
      </c>
      <c r="Z45" s="499"/>
    </row>
    <row r="46" spans="1:26" ht="14.4" hidden="1" customHeight="1">
      <c r="A46" s="449"/>
      <c r="B46" s="463" t="s">
        <v>300</v>
      </c>
      <c r="C46" s="296" t="s">
        <v>301</v>
      </c>
      <c r="D46" s="431">
        <v>-392000</v>
      </c>
      <c r="E46" s="464">
        <v>0</v>
      </c>
      <c r="F46" s="465">
        <v>0</v>
      </c>
      <c r="G46" s="466">
        <v>0</v>
      </c>
      <c r="H46" s="431">
        <v>0</v>
      </c>
      <c r="I46" s="431">
        <v>0</v>
      </c>
      <c r="J46" s="431">
        <v>0</v>
      </c>
      <c r="K46" s="431">
        <v>0</v>
      </c>
      <c r="L46" s="431">
        <v>0</v>
      </c>
      <c r="M46" s="431">
        <v>0</v>
      </c>
      <c r="N46" s="431">
        <v>0</v>
      </c>
      <c r="O46" s="431">
        <v>0</v>
      </c>
      <c r="P46" s="431">
        <v>0</v>
      </c>
      <c r="Q46" s="431">
        <v>0</v>
      </c>
      <c r="R46" s="431">
        <v>0</v>
      </c>
      <c r="S46" s="431">
        <v>0</v>
      </c>
      <c r="U46" s="494"/>
      <c r="V46" s="495"/>
      <c r="W46" s="495"/>
      <c r="X46" s="496">
        <v>0</v>
      </c>
      <c r="Z46" s="499"/>
    </row>
    <row r="47" spans="1:26" ht="14.4" customHeight="1">
      <c r="A47" s="449">
        <v>0.85</v>
      </c>
      <c r="B47" s="463" t="s">
        <v>300</v>
      </c>
      <c r="C47" s="296" t="s">
        <v>301</v>
      </c>
      <c r="D47" s="431">
        <v>0</v>
      </c>
      <c r="E47" s="467">
        <v>24390</v>
      </c>
      <c r="F47" s="465">
        <v>13920.949999999999</v>
      </c>
      <c r="G47" s="466">
        <v>-524254</v>
      </c>
      <c r="H47" s="431">
        <v>-45560</v>
      </c>
      <c r="I47" s="431">
        <v>-47040</v>
      </c>
      <c r="J47" s="431">
        <v>-41130</v>
      </c>
      <c r="K47" s="431">
        <v>-23834</v>
      </c>
      <c r="L47" s="431">
        <v>-28908.5</v>
      </c>
      <c r="M47" s="431">
        <v>-23902</v>
      </c>
      <c r="N47" s="431">
        <v>-23868</v>
      </c>
      <c r="O47" s="431">
        <v>-32793</v>
      </c>
      <c r="P47" s="431">
        <v>-29231.5</v>
      </c>
      <c r="Q47" s="431">
        <v>-28679</v>
      </c>
      <c r="R47" s="431">
        <v>-23910.5</v>
      </c>
      <c r="S47" s="431">
        <v>-175397.5</v>
      </c>
      <c r="T47" s="296" t="s">
        <v>283</v>
      </c>
      <c r="U47" s="494">
        <v>0.85</v>
      </c>
      <c r="V47" s="495">
        <v>0.96</v>
      </c>
      <c r="W47" s="495">
        <v>0.96</v>
      </c>
      <c r="X47" s="496">
        <v>-524254</v>
      </c>
      <c r="Y47" s="497">
        <v>-609300</v>
      </c>
      <c r="Z47" s="498">
        <v>-658050</v>
      </c>
    </row>
    <row r="48" spans="1:26" ht="14.4" hidden="1" customHeight="1">
      <c r="A48" s="449"/>
      <c r="B48" s="463" t="s">
        <v>288</v>
      </c>
      <c r="C48" s="296" t="s">
        <v>289</v>
      </c>
      <c r="D48" s="431">
        <v>-5310000</v>
      </c>
      <c r="E48" s="464">
        <v>0</v>
      </c>
      <c r="F48" s="465">
        <v>0</v>
      </c>
      <c r="G48" s="466">
        <v>0</v>
      </c>
      <c r="H48" s="431">
        <v>0</v>
      </c>
      <c r="I48" s="431">
        <v>0</v>
      </c>
      <c r="J48" s="431">
        <v>0</v>
      </c>
      <c r="K48" s="431">
        <v>0</v>
      </c>
      <c r="L48" s="431">
        <v>0</v>
      </c>
      <c r="M48" s="431">
        <v>0</v>
      </c>
      <c r="N48" s="431">
        <v>0</v>
      </c>
      <c r="O48" s="431">
        <v>0</v>
      </c>
      <c r="P48" s="431">
        <v>0</v>
      </c>
      <c r="Q48" s="431">
        <v>0</v>
      </c>
      <c r="R48" s="431">
        <v>0</v>
      </c>
      <c r="S48" s="431">
        <v>0</v>
      </c>
      <c r="T48" s="296" t="s">
        <v>283</v>
      </c>
      <c r="U48" s="494"/>
      <c r="V48" s="495"/>
      <c r="W48" s="495"/>
      <c r="X48" s="496">
        <v>0</v>
      </c>
      <c r="Z48" s="499"/>
    </row>
    <row r="49" spans="1:26" ht="14.4" hidden="1" customHeight="1">
      <c r="A49" s="449"/>
      <c r="B49" s="463" t="s">
        <v>302</v>
      </c>
      <c r="C49" s="296" t="s">
        <v>303</v>
      </c>
      <c r="D49" s="431">
        <v>0</v>
      </c>
      <c r="E49" s="464">
        <v>-9800000</v>
      </c>
      <c r="F49" s="465">
        <v>-5704953.3499999996</v>
      </c>
      <c r="G49" s="466">
        <v>0</v>
      </c>
      <c r="H49" s="431">
        <v>0</v>
      </c>
      <c r="I49" s="431">
        <v>0</v>
      </c>
      <c r="J49" s="431">
        <v>0</v>
      </c>
      <c r="K49" s="431">
        <v>0</v>
      </c>
      <c r="L49" s="431">
        <v>0</v>
      </c>
      <c r="M49" s="431">
        <v>0</v>
      </c>
      <c r="N49" s="431">
        <v>0</v>
      </c>
      <c r="O49" s="431">
        <v>0</v>
      </c>
      <c r="P49" s="431">
        <v>0</v>
      </c>
      <c r="Q49" s="431">
        <v>0</v>
      </c>
      <c r="R49" s="431">
        <v>0</v>
      </c>
      <c r="S49" s="431">
        <v>0</v>
      </c>
      <c r="T49" s="296" t="s">
        <v>283</v>
      </c>
      <c r="U49" s="494"/>
      <c r="V49" s="495"/>
      <c r="W49" s="495"/>
      <c r="X49" s="496">
        <v>0</v>
      </c>
      <c r="Z49" s="499"/>
    </row>
    <row r="50" spans="1:26" ht="14.4" customHeight="1">
      <c r="A50" s="449">
        <v>1</v>
      </c>
      <c r="B50" s="463" t="s">
        <v>302</v>
      </c>
      <c r="C50" s="296" t="s">
        <v>303</v>
      </c>
      <c r="D50" s="431">
        <v>-34410240</v>
      </c>
      <c r="E50" s="467">
        <v>-26300000</v>
      </c>
      <c r="F50" s="465">
        <v>-16142606.929999998</v>
      </c>
      <c r="G50" s="467">
        <v>-33259180</v>
      </c>
      <c r="H50" s="431">
        <v>-2910220</v>
      </c>
      <c r="I50" s="431">
        <v>-3398310</v>
      </c>
      <c r="J50" s="431">
        <v>-3725200</v>
      </c>
      <c r="K50" s="431">
        <v>-2555800</v>
      </c>
      <c r="L50" s="431">
        <v>-2568890</v>
      </c>
      <c r="M50" s="431">
        <v>-2548380</v>
      </c>
      <c r="N50" s="431">
        <v>-2945420</v>
      </c>
      <c r="O50" s="431">
        <v>-2932140</v>
      </c>
      <c r="P50" s="431">
        <v>-2822090</v>
      </c>
      <c r="Q50" s="431">
        <v>-2805740</v>
      </c>
      <c r="R50" s="431">
        <v>-2822700</v>
      </c>
      <c r="S50" s="431">
        <v>-2452090</v>
      </c>
      <c r="T50" s="296" t="s">
        <v>283</v>
      </c>
      <c r="U50" s="494">
        <v>1</v>
      </c>
      <c r="V50" s="495">
        <v>1</v>
      </c>
      <c r="W50" s="495">
        <v>1</v>
      </c>
      <c r="X50" s="496">
        <v>-33259180</v>
      </c>
      <c r="Y50" s="497">
        <v>-35587320</v>
      </c>
      <c r="Z50" s="498">
        <v>-38434310</v>
      </c>
    </row>
    <row r="51" spans="1:26" ht="14.4" customHeight="1">
      <c r="A51" s="449">
        <v>0.85</v>
      </c>
      <c r="B51" s="463" t="s">
        <v>305</v>
      </c>
      <c r="C51" s="296" t="s">
        <v>306</v>
      </c>
      <c r="D51" s="431">
        <v>-847440</v>
      </c>
      <c r="E51" s="467">
        <v>-1500000</v>
      </c>
      <c r="F51" s="465">
        <v>-915479.27</v>
      </c>
      <c r="G51" s="466">
        <v>-1338750</v>
      </c>
      <c r="H51" s="465">
        <v>-111562.5</v>
      </c>
      <c r="I51" s="465">
        <v>-111562.5</v>
      </c>
      <c r="J51" s="465">
        <v>-111562.5</v>
      </c>
      <c r="K51" s="465">
        <v>-111562.5</v>
      </c>
      <c r="L51" s="465">
        <v>-111562.5</v>
      </c>
      <c r="M51" s="465">
        <v>-111562.5</v>
      </c>
      <c r="N51" s="465">
        <v>-111562.5</v>
      </c>
      <c r="O51" s="465">
        <v>-111562.5</v>
      </c>
      <c r="P51" s="465">
        <v>-111562.5</v>
      </c>
      <c r="Q51" s="465">
        <v>-111562.5</v>
      </c>
      <c r="R51" s="465">
        <v>-111562.5</v>
      </c>
      <c r="S51" s="465">
        <v>-111562.5</v>
      </c>
      <c r="T51" s="296" t="s">
        <v>283</v>
      </c>
      <c r="U51" s="500">
        <v>0.85</v>
      </c>
      <c r="V51" s="501">
        <v>0.88800000000000001</v>
      </c>
      <c r="W51" s="501">
        <v>0.88800000000000001</v>
      </c>
      <c r="X51" s="502">
        <v>-1338750</v>
      </c>
      <c r="Y51" s="503">
        <v>-1496500</v>
      </c>
      <c r="Z51" s="504">
        <v>-1616220</v>
      </c>
    </row>
    <row r="52" spans="1:26" ht="14.4" customHeight="1" thickBot="1">
      <c r="G52" s="477">
        <v>-69427349</v>
      </c>
      <c r="K52" s="328">
        <v>-5374299.1333333328</v>
      </c>
      <c r="X52" s="478">
        <v>-69427349</v>
      </c>
      <c r="Y52" s="478">
        <v>-74672120</v>
      </c>
      <c r="Z52" s="478">
        <v>-80645890</v>
      </c>
    </row>
    <row r="53" spans="1:26" ht="14.4" customHeight="1" thickTop="1">
      <c r="G53" s="505">
        <v>0.98474556269585212</v>
      </c>
      <c r="H53" s="741" t="s">
        <v>476</v>
      </c>
      <c r="I53" s="742"/>
      <c r="X53" s="505">
        <v>0.98474556269585212</v>
      </c>
      <c r="Y53" s="505">
        <v>0.98984716329416345</v>
      </c>
      <c r="Z53" s="505">
        <v>0.98984719736226956</v>
      </c>
    </row>
    <row r="54" spans="1:26" ht="14.4" customHeight="1"/>
    <row r="55" spans="1:26" ht="14.4" customHeight="1"/>
    <row r="56" spans="1:26" ht="14.4" customHeight="1"/>
    <row r="57" spans="1:26" ht="14.4" customHeight="1"/>
    <row r="58" spans="1:26" ht="14.4" customHeight="1"/>
    <row r="59" spans="1:26" ht="14.4" customHeight="1"/>
    <row r="60" spans="1:26" ht="14.4" customHeight="1"/>
    <row r="61" spans="1:26" ht="14.4" customHeight="1"/>
    <row r="62" spans="1:26" ht="14.4" customHeight="1"/>
    <row r="63" spans="1:26" ht="14.4" customHeight="1"/>
    <row r="64" spans="1:26" ht="14.4" customHeight="1"/>
    <row r="65" ht="14.4" customHeight="1"/>
    <row r="66" ht="14.4" customHeight="1"/>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C87D-79A9-4867-9E73-7ABD4A0B447A}">
  <sheetPr>
    <tabColor theme="1" tint="0.499984740745262"/>
  </sheetPr>
  <dimension ref="A1:M56"/>
  <sheetViews>
    <sheetView showGridLines="0" topLeftCell="A2" workbookViewId="0">
      <selection sqref="A1:J22"/>
    </sheetView>
  </sheetViews>
  <sheetFormatPr defaultColWidth="8.88671875" defaultRowHeight="14.4"/>
  <cols>
    <col min="1" max="1" width="13.6640625" style="296" customWidth="1"/>
    <col min="2" max="3" width="14.6640625" customWidth="1"/>
    <col min="4" max="4" width="16.6640625" customWidth="1"/>
    <col min="6" max="6" width="40.5546875" customWidth="1"/>
    <col min="7" max="7" width="16.88671875" style="261" customWidth="1"/>
    <col min="8" max="9" width="16.88671875" customWidth="1"/>
    <col min="10" max="10" width="12.5546875" customWidth="1"/>
    <col min="12" max="12" width="19.109375" customWidth="1"/>
  </cols>
  <sheetData>
    <row r="1" spans="1:12" ht="15.6">
      <c r="B1" s="506"/>
      <c r="C1" s="507"/>
      <c r="D1" s="507"/>
      <c r="E1" s="508" t="s">
        <v>319</v>
      </c>
      <c r="F1" s="507"/>
      <c r="G1" s="509"/>
      <c r="H1" s="510">
        <v>0.06</v>
      </c>
      <c r="I1" s="510">
        <v>0.06</v>
      </c>
      <c r="J1" s="144"/>
      <c r="K1" s="144"/>
      <c r="L1" s="145"/>
    </row>
    <row r="2" spans="1:12">
      <c r="B2" s="511" t="s">
        <v>273</v>
      </c>
      <c r="C2" s="450" t="s">
        <v>274</v>
      </c>
      <c r="D2" s="451"/>
      <c r="E2" s="452" t="s">
        <v>275</v>
      </c>
      <c r="F2" s="451" t="s">
        <v>276</v>
      </c>
      <c r="G2" s="457" t="s">
        <v>85</v>
      </c>
      <c r="H2" s="458" t="s">
        <v>86</v>
      </c>
      <c r="I2" s="459" t="s">
        <v>251</v>
      </c>
      <c r="J2" s="296"/>
      <c r="L2" s="265"/>
    </row>
    <row r="3" spans="1:12">
      <c r="A3" s="296" t="s">
        <v>320</v>
      </c>
      <c r="B3" s="512">
        <v>11014104460000</v>
      </c>
      <c r="C3" s="460">
        <v>20170907035059</v>
      </c>
      <c r="D3" s="461" t="s">
        <v>321</v>
      </c>
      <c r="E3" s="462">
        <v>1014</v>
      </c>
      <c r="F3" s="463" t="s">
        <v>322</v>
      </c>
      <c r="G3" s="513">
        <v>-109000</v>
      </c>
      <c r="H3" s="514">
        <v>-113800</v>
      </c>
      <c r="I3" s="515">
        <v>-118920</v>
      </c>
      <c r="J3" s="296" t="s">
        <v>252</v>
      </c>
      <c r="L3" s="265"/>
    </row>
    <row r="4" spans="1:12">
      <c r="A4" s="296" t="s">
        <v>320</v>
      </c>
      <c r="B4" s="512">
        <v>11014104480000</v>
      </c>
      <c r="C4" s="460">
        <v>20170907035060</v>
      </c>
      <c r="D4" s="461" t="s">
        <v>90</v>
      </c>
      <c r="E4" s="462">
        <v>1014</v>
      </c>
      <c r="F4" s="463" t="s">
        <v>323</v>
      </c>
      <c r="G4" s="516">
        <f>-15209760*1.015</f>
        <v>-15437906.399999999</v>
      </c>
      <c r="H4" s="484">
        <f>ROUND(SUM(G4*SUM(1+$H$1)),-1)</f>
        <v>-16364180</v>
      </c>
      <c r="I4" s="517">
        <f>ROUND(SUM(H4*SUM(1+$I$1)),-1)</f>
        <v>-17346030</v>
      </c>
      <c r="J4" s="296" t="s">
        <v>252</v>
      </c>
      <c r="L4" s="265"/>
    </row>
    <row r="5" spans="1:12">
      <c r="A5" s="296" t="s">
        <v>320</v>
      </c>
      <c r="B5" s="512">
        <v>11014104480000</v>
      </c>
      <c r="C5" s="460">
        <v>20180329023935</v>
      </c>
      <c r="D5" s="461" t="s">
        <v>90</v>
      </c>
      <c r="E5" s="462">
        <v>1014</v>
      </c>
      <c r="F5" s="463" t="s">
        <v>323</v>
      </c>
      <c r="G5" s="518">
        <f>6531090*1.015</f>
        <v>6629056.3499999996</v>
      </c>
      <c r="H5" s="519">
        <f>ROUND(SUM(G5*SUM(1+$H$1)),-1)</f>
        <v>7026800</v>
      </c>
      <c r="I5" s="520">
        <f>ROUND(SUM(H5*SUM(1+$I$1)),-1)</f>
        <v>7448410</v>
      </c>
      <c r="J5" s="296" t="s">
        <v>324</v>
      </c>
      <c r="L5" s="265"/>
    </row>
    <row r="6" spans="1:12" ht="15" thickBot="1">
      <c r="B6" s="512"/>
      <c r="C6" s="460"/>
      <c r="D6" s="461"/>
      <c r="E6" s="462"/>
      <c r="F6" s="463"/>
      <c r="G6" s="521">
        <f>SUM(G3:G5)</f>
        <v>-8917850.0499999989</v>
      </c>
      <c r="H6" s="521">
        <f>SUM(H3:H5)</f>
        <v>-9451180</v>
      </c>
      <c r="I6" s="521">
        <f>SUM(I3:I5)</f>
        <v>-10016540</v>
      </c>
      <c r="J6" s="296"/>
      <c r="L6" s="265"/>
    </row>
    <row r="7" spans="1:12" ht="15" thickTop="1">
      <c r="B7" s="264"/>
      <c r="G7" s="522"/>
      <c r="J7" s="296"/>
      <c r="L7" s="265"/>
    </row>
    <row r="8" spans="1:12" ht="15.6">
      <c r="B8" s="523"/>
      <c r="C8" s="524"/>
      <c r="D8" s="525"/>
      <c r="E8" s="526" t="s">
        <v>325</v>
      </c>
      <c r="F8" s="525"/>
      <c r="G8" s="457" t="s">
        <v>85</v>
      </c>
      <c r="H8" s="458" t="s">
        <v>86</v>
      </c>
      <c r="I8" s="459" t="s">
        <v>251</v>
      </c>
      <c r="J8" s="296"/>
      <c r="L8" s="265"/>
    </row>
    <row r="9" spans="1:12">
      <c r="A9" s="431" t="s">
        <v>326</v>
      </c>
      <c r="B9" s="264"/>
      <c r="D9" s="489">
        <v>1</v>
      </c>
      <c r="E9" s="490">
        <v>1</v>
      </c>
      <c r="F9" s="527">
        <v>1</v>
      </c>
      <c r="G9" s="491">
        <f>SUM(G3*D9)</f>
        <v>-109000</v>
      </c>
      <c r="H9" s="528">
        <f>SUM(H3*E9)</f>
        <v>-113800</v>
      </c>
      <c r="I9" s="529">
        <f>SUM(I3*F9)</f>
        <v>-118920</v>
      </c>
      <c r="J9" s="463" t="s">
        <v>322</v>
      </c>
      <c r="K9" s="530"/>
      <c r="L9" s="531"/>
    </row>
    <row r="10" spans="1:12">
      <c r="A10" s="431" t="s">
        <v>326</v>
      </c>
      <c r="B10" s="264"/>
      <c r="D10" s="494">
        <v>0.59499999999999997</v>
      </c>
      <c r="E10" s="495">
        <v>0.67600000000000005</v>
      </c>
      <c r="F10" s="532">
        <v>0.73675000000000002</v>
      </c>
      <c r="G10" s="496">
        <f>ROUND(SUM(SUM(G4+G5)*D10),-1)</f>
        <v>-5241270</v>
      </c>
      <c r="H10" s="328">
        <f>ROUND(SUM(SUM(H4+H5)*E10),-1)</f>
        <v>-6312070</v>
      </c>
      <c r="I10" s="533">
        <f>ROUND(SUM(SUM(I4+I5)*F10),-1)</f>
        <v>-7292070</v>
      </c>
      <c r="J10" s="463" t="s">
        <v>323</v>
      </c>
      <c r="K10" s="530"/>
      <c r="L10" s="531"/>
    </row>
    <row r="11" spans="1:12">
      <c r="B11" s="264"/>
      <c r="D11" s="500"/>
      <c r="E11" s="501"/>
      <c r="F11" s="534"/>
      <c r="G11" s="502"/>
      <c r="H11" s="535"/>
      <c r="I11" s="536"/>
      <c r="J11" s="463"/>
      <c r="K11" s="530"/>
      <c r="L11" s="531"/>
    </row>
    <row r="12" spans="1:12" ht="15" thickBot="1">
      <c r="B12" s="264"/>
      <c r="D12" s="296"/>
      <c r="E12" s="296"/>
      <c r="F12" s="296"/>
      <c r="G12" s="478">
        <f>SUM(G9:G11)</f>
        <v>-5350270</v>
      </c>
      <c r="H12" s="478">
        <f>SUM(H9:H11)</f>
        <v>-6425870</v>
      </c>
      <c r="I12" s="478">
        <f>SUM(I9:I11)</f>
        <v>-7410990</v>
      </c>
      <c r="J12" s="296"/>
      <c r="L12" s="265"/>
    </row>
    <row r="13" spans="1:12" ht="15" thickTop="1">
      <c r="B13" s="264"/>
      <c r="D13" s="296"/>
      <c r="E13" s="296"/>
      <c r="F13" s="296"/>
      <c r="G13" s="537">
        <f>G12/G6</f>
        <v>0.59995065738966991</v>
      </c>
      <c r="H13" s="537">
        <f>H12/H6</f>
        <v>0.67990134565207727</v>
      </c>
      <c r="I13" s="537">
        <f>I12/I6</f>
        <v>0.73987524634254942</v>
      </c>
      <c r="J13" s="296"/>
      <c r="L13" s="265"/>
    </row>
    <row r="14" spans="1:12" ht="15" thickBot="1">
      <c r="B14" s="266"/>
      <c r="C14" s="165"/>
      <c r="D14" s="165"/>
      <c r="E14" s="165"/>
      <c r="F14" s="165"/>
      <c r="G14" s="538"/>
      <c r="H14" s="538"/>
      <c r="I14" s="538"/>
      <c r="J14" s="539"/>
      <c r="K14" s="165"/>
      <c r="L14" s="267"/>
    </row>
    <row r="15" spans="1:12" ht="15.6">
      <c r="B15" s="506"/>
      <c r="C15" s="507"/>
      <c r="D15" s="507"/>
      <c r="E15" s="508" t="s">
        <v>327</v>
      </c>
      <c r="F15" s="507"/>
      <c r="G15" s="540"/>
      <c r="H15" s="510">
        <v>0.06</v>
      </c>
      <c r="I15" s="510">
        <v>0.06</v>
      </c>
      <c r="J15" s="541"/>
      <c r="K15" s="144"/>
      <c r="L15" s="145"/>
    </row>
    <row r="16" spans="1:12">
      <c r="B16" s="511" t="s">
        <v>273</v>
      </c>
      <c r="C16" s="450" t="s">
        <v>274</v>
      </c>
      <c r="D16" s="451"/>
      <c r="E16" s="452" t="s">
        <v>275</v>
      </c>
      <c r="F16" s="451" t="s">
        <v>276</v>
      </c>
      <c r="G16" s="457" t="s">
        <v>85</v>
      </c>
      <c r="H16" s="458" t="s">
        <v>86</v>
      </c>
      <c r="I16" s="459" t="s">
        <v>251</v>
      </c>
      <c r="J16" s="296"/>
      <c r="L16" s="265"/>
    </row>
    <row r="17" spans="1:13">
      <c r="A17" s="431" t="s">
        <v>326</v>
      </c>
      <c r="B17" s="512">
        <v>11015104550000</v>
      </c>
      <c r="C17" s="460">
        <v>20170907035068</v>
      </c>
      <c r="D17" s="461" t="s">
        <v>328</v>
      </c>
      <c r="E17" s="462">
        <v>1015</v>
      </c>
      <c r="F17" s="463" t="s">
        <v>329</v>
      </c>
      <c r="G17" s="513">
        <f>-13900000*1.015</f>
        <v>-14108499.999999998</v>
      </c>
      <c r="H17" s="514">
        <f>ROUND(SUM(G17*SUM(1+$H$1)),-1)</f>
        <v>-14955010</v>
      </c>
      <c r="I17" s="515">
        <f>ROUND(SUM(H17*SUM(1+$I$1)),-1)</f>
        <v>-15852310</v>
      </c>
      <c r="J17" s="296" t="s">
        <v>252</v>
      </c>
      <c r="K17" s="296"/>
      <c r="L17" s="265"/>
    </row>
    <row r="18" spans="1:13">
      <c r="A18" s="431" t="s">
        <v>326</v>
      </c>
      <c r="B18" s="512">
        <v>11015104550000</v>
      </c>
      <c r="C18" s="460">
        <v>20180329023921</v>
      </c>
      <c r="D18" s="461" t="s">
        <v>328</v>
      </c>
      <c r="E18" s="462">
        <v>1015</v>
      </c>
      <c r="F18" s="463" t="s">
        <v>329</v>
      </c>
      <c r="G18" s="516">
        <f>5736000*1.015</f>
        <v>5822039.9999999991</v>
      </c>
      <c r="H18" s="484">
        <f>ROUND(SUM(G18*SUM(1+$H$1)),-1)</f>
        <v>6171360</v>
      </c>
      <c r="I18" s="517">
        <f>ROUND(SUM(H18*SUM(1+$I$1)),-1)</f>
        <v>6541640</v>
      </c>
      <c r="J18" s="296" t="s">
        <v>324</v>
      </c>
      <c r="K18" s="296"/>
      <c r="L18" s="265"/>
    </row>
    <row r="19" spans="1:13" hidden="1">
      <c r="A19" s="431" t="s">
        <v>326</v>
      </c>
      <c r="B19" s="512">
        <v>11015104550000</v>
      </c>
      <c r="C19" s="460">
        <v>20190813991509</v>
      </c>
      <c r="D19" s="461" t="s">
        <v>328</v>
      </c>
      <c r="E19" s="462">
        <v>1015</v>
      </c>
      <c r="F19" s="463" t="s">
        <v>329</v>
      </c>
      <c r="G19" s="516"/>
      <c r="H19" s="484">
        <f>ROUND(SUM(G19*SUM(1+$H$1)),-1)</f>
        <v>0</v>
      </c>
      <c r="I19" s="517">
        <f>ROUND(SUM(H19*SUM(1+$I$1)),-1)</f>
        <v>0</v>
      </c>
      <c r="J19" s="296"/>
      <c r="K19" s="296"/>
      <c r="L19" s="265"/>
    </row>
    <row r="20" spans="1:13">
      <c r="A20" s="431" t="s">
        <v>326</v>
      </c>
      <c r="B20" s="512">
        <v>11015104590000</v>
      </c>
      <c r="C20" s="460">
        <v>20170907035070</v>
      </c>
      <c r="D20" s="461" t="s">
        <v>304</v>
      </c>
      <c r="E20" s="462">
        <v>1015</v>
      </c>
      <c r="F20" s="463" t="s">
        <v>330</v>
      </c>
      <c r="G20" s="516">
        <f>-434000*1.015</f>
        <v>-440509.99999999994</v>
      </c>
      <c r="H20" s="484">
        <f>ROUND(SUM(G20*SUM(1+$H$1)),-1)</f>
        <v>-466940</v>
      </c>
      <c r="I20" s="517">
        <f>ROUND(SUM(H20*SUM(1+$I$1)),-1)</f>
        <v>-494960</v>
      </c>
      <c r="J20" s="296" t="s">
        <v>331</v>
      </c>
      <c r="K20" s="296"/>
      <c r="L20" s="265"/>
    </row>
    <row r="21" spans="1:13">
      <c r="A21" s="431" t="s">
        <v>332</v>
      </c>
      <c r="B21" s="512">
        <v>11015104600000</v>
      </c>
      <c r="C21" s="460">
        <v>20170907035077</v>
      </c>
      <c r="D21" s="461" t="s">
        <v>333</v>
      </c>
      <c r="E21" s="462">
        <v>1015</v>
      </c>
      <c r="F21" s="463" t="s">
        <v>334</v>
      </c>
      <c r="G21" s="516">
        <v>-12000</v>
      </c>
      <c r="H21" s="484">
        <v>-12720</v>
      </c>
      <c r="I21" s="517">
        <v>-13480</v>
      </c>
      <c r="J21" s="296" t="s">
        <v>335</v>
      </c>
      <c r="K21" s="296"/>
      <c r="L21" s="265"/>
    </row>
    <row r="22" spans="1:13" hidden="1">
      <c r="A22" s="431"/>
      <c r="B22" s="512">
        <v>11015104610000</v>
      </c>
      <c r="C22" s="460">
        <v>20170702077971</v>
      </c>
      <c r="D22" s="461" t="s">
        <v>336</v>
      </c>
      <c r="E22" s="462">
        <v>1015</v>
      </c>
      <c r="F22" s="463" t="s">
        <v>337</v>
      </c>
      <c r="G22" s="516"/>
      <c r="H22" s="484">
        <v>0</v>
      </c>
      <c r="I22" s="517">
        <v>0</v>
      </c>
      <c r="J22" s="296"/>
      <c r="K22" s="296"/>
      <c r="L22" s="265"/>
    </row>
    <row r="23" spans="1:13">
      <c r="A23" s="431" t="s">
        <v>332</v>
      </c>
      <c r="B23" s="512">
        <v>11015104610000</v>
      </c>
      <c r="C23" s="460">
        <v>20170907035078</v>
      </c>
      <c r="D23" s="461" t="s">
        <v>336</v>
      </c>
      <c r="E23" s="462">
        <v>1015</v>
      </c>
      <c r="F23" s="463" t="s">
        <v>337</v>
      </c>
      <c r="G23" s="516">
        <v>-480000</v>
      </c>
      <c r="H23" s="484">
        <v>-508800</v>
      </c>
      <c r="I23" s="517">
        <v>-539330</v>
      </c>
      <c r="J23" s="296" t="s">
        <v>338</v>
      </c>
      <c r="K23" s="296"/>
      <c r="L23" s="265"/>
    </row>
    <row r="24" spans="1:13" ht="15" thickBot="1">
      <c r="B24" s="264"/>
      <c r="G24" s="521">
        <f>SUM(G17:G23)</f>
        <v>-9218969.9999999981</v>
      </c>
      <c r="H24" s="521">
        <f>SUM(H17:H23)</f>
        <v>-9772110</v>
      </c>
      <c r="I24" s="521">
        <f>SUM(I17:I23)</f>
        <v>-10358440</v>
      </c>
      <c r="J24" s="296"/>
      <c r="L24" s="265"/>
    </row>
    <row r="25" spans="1:13" ht="15" thickTop="1">
      <c r="B25" s="264"/>
      <c r="G25" s="522"/>
      <c r="L25" s="265"/>
    </row>
    <row r="26" spans="1:13">
      <c r="B26" s="264"/>
      <c r="G26" s="522"/>
      <c r="L26" s="265"/>
    </row>
    <row r="27" spans="1:13" ht="15.6">
      <c r="B27" s="523"/>
      <c r="C27" s="524"/>
      <c r="D27" s="525"/>
      <c r="E27" s="526" t="s">
        <v>339</v>
      </c>
      <c r="F27" s="525"/>
      <c r="G27" s="457" t="s">
        <v>85</v>
      </c>
      <c r="H27" s="458" t="s">
        <v>86</v>
      </c>
      <c r="I27" s="459" t="s">
        <v>251</v>
      </c>
      <c r="L27" s="265"/>
    </row>
    <row r="28" spans="1:13">
      <c r="A28" s="431" t="s">
        <v>326</v>
      </c>
      <c r="B28" s="264"/>
      <c r="D28" s="489">
        <v>0.59899999999999998</v>
      </c>
      <c r="E28" s="490">
        <v>0.66400000000000003</v>
      </c>
      <c r="F28" s="527">
        <v>0.72699999999999998</v>
      </c>
      <c r="G28" s="542">
        <f>SUM(G17+G18)*D28</f>
        <v>-4963589.5399999991</v>
      </c>
      <c r="H28" s="542">
        <f>SUM(H17+H18)*E28</f>
        <v>-5832343.6000000006</v>
      </c>
      <c r="I28" s="542">
        <f>SUM(I17+I18)*F28</f>
        <v>-6768857.0899999999</v>
      </c>
      <c r="J28" s="463" t="s">
        <v>329</v>
      </c>
      <c r="K28" s="530"/>
      <c r="L28" s="531"/>
    </row>
    <row r="29" spans="1:13">
      <c r="A29" s="431" t="s">
        <v>326</v>
      </c>
      <c r="B29" s="264"/>
      <c r="D29" s="494">
        <v>0.59</v>
      </c>
      <c r="E29" s="495">
        <v>0.62</v>
      </c>
      <c r="F29" s="532">
        <v>0.7</v>
      </c>
      <c r="G29" s="436">
        <f t="shared" ref="G29:I30" si="0">G20*D29</f>
        <v>-259900.89999999997</v>
      </c>
      <c r="H29" s="436">
        <f t="shared" si="0"/>
        <v>-289502.8</v>
      </c>
      <c r="I29" s="436">
        <f t="shared" si="0"/>
        <v>-346472</v>
      </c>
      <c r="J29" s="463" t="s">
        <v>330</v>
      </c>
      <c r="K29" s="530"/>
      <c r="L29" s="531"/>
    </row>
    <row r="30" spans="1:13" hidden="1">
      <c r="B30" s="264"/>
      <c r="D30" s="494">
        <v>1</v>
      </c>
      <c r="E30" s="495">
        <v>1</v>
      </c>
      <c r="F30" s="532">
        <v>1</v>
      </c>
      <c r="G30" s="436">
        <f t="shared" si="0"/>
        <v>-12000</v>
      </c>
      <c r="H30" s="436">
        <f t="shared" si="0"/>
        <v>-12720</v>
      </c>
      <c r="I30" s="436">
        <f t="shared" si="0"/>
        <v>-13480</v>
      </c>
      <c r="J30" s="463" t="s">
        <v>334</v>
      </c>
      <c r="K30" s="530"/>
      <c r="L30" s="531"/>
    </row>
    <row r="31" spans="1:13" hidden="1">
      <c r="B31" s="264"/>
      <c r="D31" s="494">
        <v>1</v>
      </c>
      <c r="E31" s="495">
        <v>1</v>
      </c>
      <c r="F31" s="532">
        <v>1</v>
      </c>
      <c r="G31" s="436">
        <f>G23*D31</f>
        <v>-480000</v>
      </c>
      <c r="H31" s="436">
        <f>H23*E31</f>
        <v>-508800</v>
      </c>
      <c r="I31" s="436">
        <f>I23*F31</f>
        <v>-539330</v>
      </c>
      <c r="J31" s="463" t="s">
        <v>337</v>
      </c>
      <c r="K31" s="530"/>
      <c r="L31" s="531"/>
    </row>
    <row r="32" spans="1:13">
      <c r="B32" s="264"/>
      <c r="D32" s="500"/>
      <c r="E32" s="501"/>
      <c r="F32" s="534"/>
      <c r="G32" s="543"/>
      <c r="H32" s="476"/>
      <c r="I32" s="476"/>
      <c r="J32" s="463"/>
      <c r="K32" s="463"/>
      <c r="L32" s="544"/>
      <c r="M32" s="296"/>
    </row>
    <row r="33" spans="1:13" ht="15" thickBot="1">
      <c r="B33" s="264"/>
      <c r="D33" s="296"/>
      <c r="E33" s="296"/>
      <c r="F33" s="296"/>
      <c r="G33" s="521">
        <f>SUM(G26:G32)</f>
        <v>-5715490.4399999995</v>
      </c>
      <c r="H33" s="521">
        <f>SUM(H26:H32)</f>
        <v>-6643366.4000000004</v>
      </c>
      <c r="I33" s="521">
        <f>SUM(I26:I32)</f>
        <v>-7668139.0899999999</v>
      </c>
      <c r="J33" s="463"/>
      <c r="K33" s="463"/>
      <c r="L33" s="544"/>
      <c r="M33" s="296"/>
    </row>
    <row r="34" spans="1:13" ht="15" thickTop="1">
      <c r="B34" s="264"/>
      <c r="D34" s="296"/>
      <c r="E34" s="296"/>
      <c r="F34" s="296"/>
      <c r="G34" s="545">
        <f>G33/G24</f>
        <v>0.619970608430226</v>
      </c>
      <c r="H34" s="545">
        <f>H33/H24</f>
        <v>0.67982926921616726</v>
      </c>
      <c r="I34" s="545">
        <f>I33/I24</f>
        <v>0.74027933646379185</v>
      </c>
      <c r="J34" s="296"/>
      <c r="K34" s="296"/>
      <c r="L34" s="335"/>
      <c r="M34" s="296"/>
    </row>
    <row r="35" spans="1:13" ht="15" thickBot="1">
      <c r="B35" s="266"/>
      <c r="C35" s="165"/>
      <c r="D35" s="539"/>
      <c r="E35" s="539"/>
      <c r="F35" s="539"/>
      <c r="G35" s="546"/>
      <c r="H35" s="546"/>
      <c r="I35" s="546"/>
      <c r="J35" s="539"/>
      <c r="K35" s="539"/>
      <c r="L35" s="343"/>
      <c r="M35" s="296"/>
    </row>
    <row r="36" spans="1:13" ht="15.6">
      <c r="B36" s="506"/>
      <c r="C36" s="507"/>
      <c r="D36" s="507"/>
      <c r="E36" s="508" t="s">
        <v>340</v>
      </c>
      <c r="F36" s="507"/>
      <c r="G36" s="540"/>
      <c r="H36" s="510">
        <v>0.06</v>
      </c>
      <c r="I36" s="510">
        <v>0.06</v>
      </c>
      <c r="J36" s="296"/>
      <c r="K36" s="296"/>
      <c r="L36" s="296"/>
      <c r="M36" s="296"/>
    </row>
    <row r="37" spans="1:13">
      <c r="B37" s="511" t="s">
        <v>273</v>
      </c>
      <c r="C37" s="450" t="s">
        <v>274</v>
      </c>
      <c r="D37" s="451"/>
      <c r="E37" s="452" t="s">
        <v>275</v>
      </c>
      <c r="F37" s="451" t="s">
        <v>276</v>
      </c>
      <c r="G37" s="457" t="s">
        <v>85</v>
      </c>
      <c r="H37" s="458" t="s">
        <v>86</v>
      </c>
      <c r="I37" s="459" t="s">
        <v>251</v>
      </c>
      <c r="J37" s="296"/>
      <c r="K37" s="296"/>
      <c r="L37" s="296"/>
      <c r="M37" s="296"/>
    </row>
    <row r="38" spans="1:13">
      <c r="A38" s="296" t="s">
        <v>332</v>
      </c>
      <c r="B38" s="547">
        <v>11019104630000</v>
      </c>
      <c r="C38" s="548">
        <v>20170907035079</v>
      </c>
      <c r="D38" s="315" t="s">
        <v>341</v>
      </c>
      <c r="E38" s="315">
        <v>1019</v>
      </c>
      <c r="F38" s="549" t="s">
        <v>342</v>
      </c>
      <c r="G38" s="470">
        <v>-91000</v>
      </c>
      <c r="H38" s="550">
        <v>-96460</v>
      </c>
      <c r="I38" s="470">
        <v>-102250</v>
      </c>
      <c r="J38" s="296"/>
      <c r="K38" s="296"/>
      <c r="L38" s="296"/>
      <c r="M38" s="296"/>
    </row>
    <row r="39" spans="1:13">
      <c r="A39" s="296" t="s">
        <v>343</v>
      </c>
      <c r="B39" s="551">
        <v>11019104660000</v>
      </c>
      <c r="C39" s="460">
        <v>20170907035080</v>
      </c>
      <c r="D39" s="296" t="s">
        <v>292</v>
      </c>
      <c r="E39" s="296">
        <v>1019</v>
      </c>
      <c r="F39" s="499" t="s">
        <v>344</v>
      </c>
      <c r="G39" s="437">
        <f>-24860000*1.015</f>
        <v>-25232899.999999996</v>
      </c>
      <c r="H39" s="552">
        <f>ROUND(SUM(G39*SUM(1+$H$1)),-1)</f>
        <v>-26746870</v>
      </c>
      <c r="I39" s="437">
        <f>ROUND(SUM(H39*SUM(1+$I$1)),-1)</f>
        <v>-28351680</v>
      </c>
      <c r="J39" s="296"/>
      <c r="K39" s="296"/>
      <c r="L39" s="296"/>
      <c r="M39" s="296"/>
    </row>
    <row r="40" spans="1:13">
      <c r="A40" s="296" t="s">
        <v>343</v>
      </c>
      <c r="B40" s="551">
        <v>11019104660000</v>
      </c>
      <c r="C40" s="460">
        <v>20180223045347</v>
      </c>
      <c r="D40" s="296" t="s">
        <v>292</v>
      </c>
      <c r="E40" s="296">
        <v>1019</v>
      </c>
      <c r="F40" s="499" t="s">
        <v>344</v>
      </c>
      <c r="G40" s="437">
        <f>3760000*1.015</f>
        <v>3816399.9999999995</v>
      </c>
      <c r="H40" s="550">
        <f>ROUND(SUM(G40*SUM(1+$H$1)),-1)</f>
        <v>4045380</v>
      </c>
      <c r="I40" s="437">
        <f>ROUND(SUM(H40*SUM(1+$I$1)),-1)</f>
        <v>4288100</v>
      </c>
      <c r="J40" s="296"/>
      <c r="K40" s="296"/>
      <c r="L40" s="296"/>
      <c r="M40" s="296"/>
    </row>
    <row r="41" spans="1:13">
      <c r="A41" s="296" t="s">
        <v>343</v>
      </c>
      <c r="B41" s="551">
        <v>11019104690000</v>
      </c>
      <c r="C41" s="460">
        <v>20170619020670</v>
      </c>
      <c r="D41" s="296" t="s">
        <v>345</v>
      </c>
      <c r="E41" s="296">
        <v>1019</v>
      </c>
      <c r="F41" s="499" t="s">
        <v>346</v>
      </c>
      <c r="G41" s="437">
        <v>-8500</v>
      </c>
      <c r="H41" s="550">
        <f>ROUND(SUM(G41*SUM(1+$H$1)),-1)</f>
        <v>-9010</v>
      </c>
      <c r="I41" s="437">
        <f>ROUND(SUM(H41*SUM(1+$I$1)),-1)</f>
        <v>-9550</v>
      </c>
      <c r="J41" s="296"/>
      <c r="K41" s="296"/>
      <c r="L41" s="296"/>
      <c r="M41" s="296"/>
    </row>
    <row r="42" spans="1:13">
      <c r="A42" s="296" t="s">
        <v>343</v>
      </c>
      <c r="B42" s="553">
        <v>11019104720000</v>
      </c>
      <c r="C42" s="554">
        <v>20170907035083</v>
      </c>
      <c r="D42" s="324" t="s">
        <v>304</v>
      </c>
      <c r="E42" s="324">
        <v>1019</v>
      </c>
      <c r="F42" s="555" t="s">
        <v>347</v>
      </c>
      <c r="G42" s="437">
        <f>-320000*1.015</f>
        <v>-324799.99999999994</v>
      </c>
      <c r="H42" s="550">
        <f>ROUND(SUM(G42*SUM(1+$H$1)),-1)</f>
        <v>-344290</v>
      </c>
      <c r="I42" s="437">
        <f>ROUND(SUM(H42*SUM(1+$I$1)),-1)</f>
        <v>-364950</v>
      </c>
      <c r="J42" s="296"/>
      <c r="K42" s="296"/>
      <c r="L42" s="296"/>
      <c r="M42" s="296"/>
    </row>
    <row r="43" spans="1:13" ht="15" thickBot="1">
      <c r="D43" s="296"/>
      <c r="E43" s="296"/>
      <c r="F43" s="296"/>
      <c r="G43" s="521">
        <f>SUM(G38:G42)</f>
        <v>-21840799.999999996</v>
      </c>
      <c r="H43" s="521">
        <f>SUM(H38:H42)</f>
        <v>-23151250</v>
      </c>
      <c r="I43" s="521">
        <f>SUM(I38:I42)</f>
        <v>-24540330</v>
      </c>
      <c r="J43" s="296"/>
      <c r="K43" s="296"/>
      <c r="L43" s="296"/>
      <c r="M43" s="296"/>
    </row>
    <row r="44" spans="1:13" ht="15" thickTop="1">
      <c r="D44" s="296"/>
      <c r="E44" s="296"/>
      <c r="F44" s="296"/>
      <c r="G44" s="431"/>
      <c r="H44" s="296"/>
      <c r="I44" s="296"/>
      <c r="J44" s="296"/>
      <c r="K44" s="296"/>
      <c r="L44" s="296"/>
      <c r="M44" s="296"/>
    </row>
    <row r="45" spans="1:13">
      <c r="D45" s="296"/>
      <c r="E45" s="296"/>
      <c r="F45" s="296"/>
      <c r="G45" s="431"/>
      <c r="H45" s="296"/>
      <c r="I45" s="296"/>
      <c r="J45" s="296"/>
      <c r="K45" s="296"/>
      <c r="L45" s="296"/>
      <c r="M45" s="296"/>
    </row>
    <row r="46" spans="1:13" ht="15.6">
      <c r="B46" s="556"/>
      <c r="C46" s="557"/>
      <c r="D46" s="558"/>
      <c r="E46" s="559" t="s">
        <v>348</v>
      </c>
      <c r="F46" s="558"/>
      <c r="G46" s="457" t="s">
        <v>85</v>
      </c>
      <c r="H46" s="458" t="s">
        <v>86</v>
      </c>
      <c r="I46" s="459" t="s">
        <v>251</v>
      </c>
      <c r="J46" s="530"/>
      <c r="K46" s="530"/>
      <c r="L46" s="531"/>
      <c r="M46" s="296"/>
    </row>
    <row r="47" spans="1:13">
      <c r="A47" s="296" t="s">
        <v>332</v>
      </c>
      <c r="B47" s="560"/>
      <c r="C47" s="561"/>
      <c r="D47" s="494">
        <v>1</v>
      </c>
      <c r="E47" s="495">
        <v>1</v>
      </c>
      <c r="F47" s="495">
        <v>1</v>
      </c>
      <c r="G47" s="562">
        <f>ROUND(SUM(G38*D47),-1)</f>
        <v>-91000</v>
      </c>
      <c r="H47" s="563">
        <f>H38*E47</f>
        <v>-96460</v>
      </c>
      <c r="I47" s="562">
        <f>I38*F47</f>
        <v>-102250</v>
      </c>
      <c r="J47" s="463" t="s">
        <v>342</v>
      </c>
      <c r="K47" s="530"/>
      <c r="L47" s="531"/>
      <c r="M47" s="296"/>
    </row>
    <row r="48" spans="1:13">
      <c r="A48" s="296" t="s">
        <v>343</v>
      </c>
      <c r="B48" s="564"/>
      <c r="C48" s="565"/>
      <c r="D48" s="494">
        <v>0.74850000000000005</v>
      </c>
      <c r="E48" s="495">
        <v>0.79900000000000004</v>
      </c>
      <c r="F48" s="495">
        <v>0.81399999999999995</v>
      </c>
      <c r="G48" s="566">
        <f>ROUND(SUM(SUM(G39+G40)*D48),-1)</f>
        <v>-16030250</v>
      </c>
      <c r="H48" s="567">
        <f>ROUND(SUM(SUM(H39+H40)*E48),-1)</f>
        <v>-18138490</v>
      </c>
      <c r="I48" s="566">
        <f>ROUND(SUM(SUM(I39+I40)*F48),-1)</f>
        <v>-19587750</v>
      </c>
      <c r="J48" s="463" t="s">
        <v>344</v>
      </c>
      <c r="K48" s="530"/>
      <c r="L48" s="531"/>
      <c r="M48" s="296"/>
    </row>
    <row r="49" spans="1:13">
      <c r="A49" s="296" t="s">
        <v>343</v>
      </c>
      <c r="B49" s="564"/>
      <c r="C49" s="565"/>
      <c r="D49" s="494">
        <v>0.747</v>
      </c>
      <c r="E49" s="495">
        <v>0.79800000000000004</v>
      </c>
      <c r="F49" s="495">
        <v>0.81499999999999995</v>
      </c>
      <c r="G49" s="436">
        <f t="shared" ref="G49:I50" si="1">ROUND(SUM(G41*D49),-1)</f>
        <v>-6350</v>
      </c>
      <c r="H49" s="497">
        <f t="shared" si="1"/>
        <v>-7190</v>
      </c>
      <c r="I49" s="436">
        <f t="shared" si="1"/>
        <v>-7780</v>
      </c>
      <c r="J49" s="463" t="s">
        <v>344</v>
      </c>
      <c r="K49" s="530"/>
      <c r="L49" s="531"/>
      <c r="M49" s="296"/>
    </row>
    <row r="50" spans="1:13">
      <c r="A50" s="296" t="s">
        <v>343</v>
      </c>
      <c r="B50" s="568"/>
      <c r="C50" s="569"/>
      <c r="D50" s="500">
        <v>0.748</v>
      </c>
      <c r="E50" s="501">
        <v>0.79849999999999999</v>
      </c>
      <c r="F50" s="501">
        <v>0.81</v>
      </c>
      <c r="G50" s="543">
        <f t="shared" si="1"/>
        <v>-242950</v>
      </c>
      <c r="H50" s="503">
        <f t="shared" si="1"/>
        <v>-274920</v>
      </c>
      <c r="I50" s="543">
        <f t="shared" si="1"/>
        <v>-295610</v>
      </c>
      <c r="J50" s="463" t="s">
        <v>346</v>
      </c>
      <c r="K50" s="530"/>
      <c r="L50" s="531"/>
      <c r="M50" s="296"/>
    </row>
    <row r="51" spans="1:13" ht="15" thickBot="1">
      <c r="D51" s="296"/>
      <c r="E51" s="296"/>
      <c r="F51" s="296"/>
      <c r="G51" s="570">
        <f>SUM(G45:G50)</f>
        <v>-16370550</v>
      </c>
      <c r="H51" s="570">
        <f>SUM(H45:H50)</f>
        <v>-18517060</v>
      </c>
      <c r="I51" s="570">
        <f>SUM(I45:I50)</f>
        <v>-19993390</v>
      </c>
      <c r="J51" s="463" t="s">
        <v>347</v>
      </c>
      <c r="K51" s="463"/>
      <c r="L51" s="544"/>
      <c r="M51" s="296"/>
    </row>
    <row r="52" spans="1:13" ht="15" thickTop="1">
      <c r="D52" s="296"/>
      <c r="E52" s="296"/>
      <c r="F52" s="296"/>
      <c r="G52" s="545">
        <f>G51/G43</f>
        <v>0.74953985202007267</v>
      </c>
      <c r="H52" s="545">
        <f>H51/H43</f>
        <v>0.79982981480481619</v>
      </c>
      <c r="I52" s="545">
        <f>I51/I43</f>
        <v>0.81471561303372853</v>
      </c>
      <c r="J52" s="296"/>
      <c r="K52" s="296"/>
      <c r="L52" s="296"/>
      <c r="M52" s="296"/>
    </row>
    <row r="55" spans="1:13">
      <c r="F55" t="s">
        <v>349</v>
      </c>
      <c r="G55" s="261">
        <f>G39+G40+G41+G42+G28+G3+G4+G5+[6]Budget!AA7+[6]Budget!AA8+[6]Budget!AA9+[6]Budget!AA10+[6]Budget!AA11+[6]Budget!AA13+[6]Budget!AA16+[6]Budget!AA19+[6]Budget!AA20-24200000</f>
        <v>-111203959.59</v>
      </c>
    </row>
    <row r="56" spans="1:13">
      <c r="G56" s="261">
        <f>G55/100</f>
        <v>-1112039.5959000001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EA2BB-12A5-4672-B8E8-761B81D5F992}">
  <sheetPr>
    <tabColor theme="1" tint="0.499984740745262"/>
  </sheetPr>
  <dimension ref="B2:L16"/>
  <sheetViews>
    <sheetView showGridLines="0" workbookViewId="0">
      <selection sqref="A1:J22"/>
    </sheetView>
  </sheetViews>
  <sheetFormatPr defaultColWidth="13.5546875" defaultRowHeight="19.95" customHeight="1"/>
  <cols>
    <col min="1" max="4" width="13.5546875" style="296"/>
    <col min="5" max="5" width="32" style="296" customWidth="1"/>
    <col min="6" max="6" width="13.5546875" style="296"/>
    <col min="7" max="7" width="31.6640625" style="296" customWidth="1"/>
    <col min="8" max="11" width="13.5546875" style="296"/>
    <col min="12" max="12" width="9.6640625" style="296" customWidth="1"/>
    <col min="13" max="16384" width="13.5546875" style="296"/>
  </cols>
  <sheetData>
    <row r="2" spans="2:12" ht="19.95" customHeight="1">
      <c r="B2" s="457" t="s">
        <v>85</v>
      </c>
      <c r="C2" s="458" t="s">
        <v>86</v>
      </c>
      <c r="D2" s="459" t="s">
        <v>251</v>
      </c>
      <c r="E2" s="571" t="s">
        <v>350</v>
      </c>
      <c r="G2" s="1054" t="s">
        <v>312</v>
      </c>
      <c r="H2" s="1055"/>
      <c r="I2" s="457" t="s">
        <v>85</v>
      </c>
      <c r="J2" s="458" t="s">
        <v>86</v>
      </c>
      <c r="K2" s="459" t="s">
        <v>251</v>
      </c>
      <c r="L2" s="572" t="s">
        <v>351</v>
      </c>
    </row>
    <row r="3" spans="2:12" ht="19.95" customHeight="1">
      <c r="B3" s="573">
        <v>220500</v>
      </c>
      <c r="C3" s="328">
        <v>200020</v>
      </c>
      <c r="D3" s="533">
        <v>164820</v>
      </c>
      <c r="E3" s="574" t="s">
        <v>352</v>
      </c>
      <c r="G3" s="1056" t="s">
        <v>313</v>
      </c>
      <c r="H3" s="1057"/>
      <c r="I3" s="575">
        <f>-SUM([6]Budget!AA22-[6]Budget!AA52)+B5</f>
        <v>1077731</v>
      </c>
      <c r="J3" s="575">
        <f>-SUM([6]Budget!AB22-[6]Budget!AB52)+C5</f>
        <v>767470</v>
      </c>
      <c r="K3" s="575">
        <f>-SUM([6]Budget!AC22-[6]Budget!AC52)+D5</f>
        <v>828790</v>
      </c>
      <c r="L3" s="1060">
        <v>0.98499999999999999</v>
      </c>
    </row>
    <row r="4" spans="2:12" ht="19.95" customHeight="1">
      <c r="B4" s="573">
        <v>85500</v>
      </c>
      <c r="C4" s="328">
        <v>77560</v>
      </c>
      <c r="D4" s="533">
        <v>63910</v>
      </c>
      <c r="E4" s="576" t="s">
        <v>353</v>
      </c>
      <c r="G4" s="1058"/>
      <c r="H4" s="1059"/>
      <c r="I4" s="566"/>
      <c r="J4" s="566"/>
      <c r="K4" s="566"/>
      <c r="L4" s="1061"/>
    </row>
    <row r="5" spans="2:12" ht="19.95" customHeight="1">
      <c r="B5" s="573">
        <v>2250</v>
      </c>
      <c r="C5" s="328">
        <v>1560</v>
      </c>
      <c r="D5" s="533">
        <v>1610</v>
      </c>
      <c r="E5" s="576" t="s">
        <v>354</v>
      </c>
      <c r="G5" s="1062" t="s">
        <v>314</v>
      </c>
      <c r="H5" s="1063"/>
      <c r="I5" s="577">
        <f>ROUND(SUM(SUM([6]Sheet2!G12-[6]Sheet2!G6)+B6),-1)</f>
        <v>3967580</v>
      </c>
      <c r="J5" s="577">
        <f>ROUND(SUM(SUM([6]Sheet2!H12-[6]Sheet2!H6)+C6),-1)</f>
        <v>3358110</v>
      </c>
      <c r="K5" s="577">
        <f>ROUND(SUM(SUM([6]Sheet2!I12-[6]Sheet2!I6)+D6),-1)</f>
        <v>2885410</v>
      </c>
      <c r="L5" s="1060">
        <v>0.6</v>
      </c>
    </row>
    <row r="6" spans="2:12" ht="19.95" customHeight="1">
      <c r="B6" s="573">
        <v>400000</v>
      </c>
      <c r="C6" s="328">
        <v>332800</v>
      </c>
      <c r="D6" s="533">
        <v>279860</v>
      </c>
      <c r="E6" s="576" t="s">
        <v>355</v>
      </c>
      <c r="G6" s="1062"/>
      <c r="H6" s="1063"/>
      <c r="I6" s="566"/>
      <c r="J6" s="566"/>
      <c r="K6" s="566"/>
      <c r="L6" s="1061"/>
    </row>
    <row r="7" spans="2:12" ht="19.95" customHeight="1">
      <c r="B7" s="573">
        <v>338200</v>
      </c>
      <c r="C7" s="328">
        <v>296190</v>
      </c>
      <c r="D7" s="533">
        <v>249076</v>
      </c>
      <c r="E7" s="576" t="s">
        <v>356</v>
      </c>
      <c r="G7" s="1050" t="s">
        <v>315</v>
      </c>
      <c r="H7" s="1051"/>
      <c r="I7" s="577">
        <f>ROUND(SUM(SUM([6]Sheet2!G33-[6]Sheet2!G24)+B7),-1)</f>
        <v>3841680</v>
      </c>
      <c r="J7" s="577">
        <f>ROUND(SUM(SUM([6]Sheet2!H33-[6]Sheet2!H24)+C7),-1)</f>
        <v>3424930</v>
      </c>
      <c r="K7" s="577">
        <f>ROUND(SUM(SUM([6]Sheet2!I33-[6]Sheet2!I24)+D7),-1)</f>
        <v>2939380</v>
      </c>
      <c r="L7" s="1052">
        <v>0.62</v>
      </c>
    </row>
    <row r="8" spans="2:12" ht="19.95" customHeight="1">
      <c r="B8" s="573">
        <v>300000</v>
      </c>
      <c r="C8" s="328">
        <v>249600</v>
      </c>
      <c r="D8" s="533">
        <v>238960</v>
      </c>
      <c r="E8" s="576" t="s">
        <v>357</v>
      </c>
      <c r="G8" s="1050"/>
      <c r="H8" s="1051"/>
      <c r="I8" s="566"/>
      <c r="J8" s="566"/>
      <c r="K8" s="566"/>
      <c r="L8" s="1053"/>
    </row>
    <row r="9" spans="2:12" ht="19.95" customHeight="1">
      <c r="B9" s="578">
        <v>7840</v>
      </c>
      <c r="C9" s="579">
        <v>2910</v>
      </c>
      <c r="D9" s="580">
        <v>3009</v>
      </c>
      <c r="E9" s="581" t="s">
        <v>358</v>
      </c>
      <c r="G9" s="1064" t="s">
        <v>316</v>
      </c>
      <c r="H9" s="1065"/>
      <c r="I9" s="577">
        <f>ROUND(SUM(SUM([6]Sheet2!G51-[6]Sheet2!G43)+B8),-1)</f>
        <v>5770250</v>
      </c>
      <c r="J9" s="577">
        <f>ROUND(SUM(SUM([6]Sheet2!H51-[6]Sheet2!H43)+C8),-1)</f>
        <v>4883790</v>
      </c>
      <c r="K9" s="577">
        <f>ROUND(SUM(SUM([6]Sheet2!I51-[6]Sheet2!I43)+D8),-1)</f>
        <v>4785900</v>
      </c>
      <c r="L9" s="1052">
        <v>0.75</v>
      </c>
    </row>
    <row r="10" spans="2:12" ht="19.95" customHeight="1" thickBot="1">
      <c r="B10" s="582">
        <v>1354290</v>
      </c>
      <c r="C10" s="582">
        <v>1160640</v>
      </c>
      <c r="D10" s="582">
        <v>1001245</v>
      </c>
      <c r="G10" s="1064"/>
      <c r="H10" s="1065"/>
      <c r="I10" s="566"/>
      <c r="J10" s="566"/>
      <c r="K10" s="566"/>
      <c r="L10" s="1053"/>
    </row>
    <row r="11" spans="2:12" ht="19.95" customHeight="1" thickTop="1">
      <c r="G11" s="1066" t="s">
        <v>317</v>
      </c>
      <c r="H11" s="1067"/>
      <c r="I11" s="566">
        <v>200000</v>
      </c>
      <c r="J11" s="566">
        <f>I11</f>
        <v>200000</v>
      </c>
      <c r="K11" s="566">
        <f>J11</f>
        <v>200000</v>
      </c>
      <c r="L11" s="1060">
        <v>0.66700000000000004</v>
      </c>
    </row>
    <row r="12" spans="2:12" ht="19.95" customHeight="1">
      <c r="G12" s="1066"/>
      <c r="H12" s="1067"/>
      <c r="I12" s="566"/>
      <c r="J12" s="566"/>
      <c r="K12" s="566"/>
      <c r="L12" s="1061"/>
    </row>
    <row r="13" spans="2:12" ht="19.95" customHeight="1">
      <c r="G13" s="1068" t="s">
        <v>318</v>
      </c>
      <c r="H13" s="1069"/>
      <c r="I13" s="577">
        <f>ROUND(SUM(4469978.15+B3+B4),-1)</f>
        <v>4775980</v>
      </c>
      <c r="J13" s="577">
        <f>ROUND(SUM(4069898.956+C3+C4),-1)</f>
        <v>4347480</v>
      </c>
      <c r="K13" s="577">
        <f>ROUND(SUM(3386810.955+D3+D4),-1)</f>
        <v>3615540</v>
      </c>
      <c r="L13" s="1072">
        <v>0.82</v>
      </c>
    </row>
    <row r="14" spans="2:12" ht="19.95" customHeight="1">
      <c r="G14" s="1070"/>
      <c r="H14" s="1071"/>
      <c r="I14" s="583"/>
      <c r="J14" s="583"/>
      <c r="K14" s="583"/>
      <c r="L14" s="1073"/>
    </row>
    <row r="15" spans="2:12" ht="19.95" customHeight="1" thickBot="1">
      <c r="G15" s="584"/>
      <c r="H15" s="585"/>
      <c r="I15" s="586">
        <f>SUM(I3:I14)</f>
        <v>19633221</v>
      </c>
      <c r="J15" s="586">
        <f>SUM(J3:J14)</f>
        <v>16981780</v>
      </c>
      <c r="K15" s="586">
        <f>SUM(K3:K14)</f>
        <v>15255020</v>
      </c>
      <c r="L15" s="435"/>
    </row>
    <row r="16" spans="2:12" ht="19.95" customHeight="1" thickTop="1">
      <c r="G16" s="296" t="s">
        <v>477</v>
      </c>
      <c r="I16" s="431">
        <v>4500000</v>
      </c>
      <c r="J16" s="431">
        <v>5400000</v>
      </c>
      <c r="K16" s="431">
        <v>5850000</v>
      </c>
    </row>
  </sheetData>
  <mergeCells count="13">
    <mergeCell ref="G9:H10"/>
    <mergeCell ref="L9:L10"/>
    <mergeCell ref="G11:H12"/>
    <mergeCell ref="L11:L12"/>
    <mergeCell ref="G13:H14"/>
    <mergeCell ref="L13:L14"/>
    <mergeCell ref="G7:H8"/>
    <mergeCell ref="L7:L8"/>
    <mergeCell ref="G2:H2"/>
    <mergeCell ref="G3:H4"/>
    <mergeCell ref="L3:L4"/>
    <mergeCell ref="G5:H6"/>
    <mergeCell ref="L5:L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5899-98B3-4426-9E03-E69288E24E71}">
  <sheetPr>
    <tabColor rgb="FF8FFFC2"/>
  </sheetPr>
  <dimension ref="A1:K50"/>
  <sheetViews>
    <sheetView showGridLines="0" topLeftCell="B1" zoomScaleNormal="100" zoomScaleSheetLayoutView="100" workbookViewId="0">
      <selection activeCell="C9" sqref="C9"/>
    </sheetView>
  </sheetViews>
  <sheetFormatPr defaultColWidth="8.88671875" defaultRowHeight="13.2"/>
  <cols>
    <col min="1" max="1" width="12.44140625" style="849" customWidth="1"/>
    <col min="2" max="2" width="43.6640625" style="849" customWidth="1"/>
    <col min="3" max="3" width="43" style="850" customWidth="1"/>
    <col min="4" max="4" width="12" style="849" customWidth="1"/>
    <col min="5" max="5" width="13.6640625" style="851" customWidth="1"/>
    <col min="6" max="6" width="13" style="851" customWidth="1"/>
    <col min="7" max="7" width="55.33203125" style="905" customWidth="1"/>
    <col min="8" max="8" width="24.33203125" style="849" hidden="1" customWidth="1"/>
    <col min="9" max="9" width="15" style="849" customWidth="1"/>
    <col min="10" max="10" width="8.88671875" style="849"/>
    <col min="11" max="11" width="19.33203125" style="849" hidden="1" customWidth="1"/>
    <col min="12" max="16384" width="8.88671875" style="849"/>
  </cols>
  <sheetData>
    <row r="1" spans="1:11" ht="91.2" customHeight="1" thickBot="1">
      <c r="A1" s="888"/>
      <c r="B1" s="885"/>
      <c r="C1" s="889"/>
      <c r="D1" s="885"/>
      <c r="E1" s="1074" t="s">
        <v>601</v>
      </c>
      <c r="F1" s="1074"/>
      <c r="G1" s="1075"/>
    </row>
    <row r="2" spans="1:11" s="854" customFormat="1" ht="13.8" thickBot="1">
      <c r="A2" s="886">
        <f ca="1">TODAY()</f>
        <v>45350</v>
      </c>
      <c r="B2" s="887" t="s">
        <v>591</v>
      </c>
      <c r="C2" s="887" t="s">
        <v>592</v>
      </c>
      <c r="D2" s="887" t="s">
        <v>583</v>
      </c>
      <c r="E2" s="887" t="s">
        <v>589</v>
      </c>
      <c r="F2" s="887" t="s">
        <v>590</v>
      </c>
      <c r="G2" s="901" t="s">
        <v>584</v>
      </c>
      <c r="H2" s="871" t="s">
        <v>585</v>
      </c>
    </row>
    <row r="3" spans="1:11" ht="31.2" thickBot="1">
      <c r="A3" s="1078" t="s">
        <v>548</v>
      </c>
      <c r="B3" s="875" t="s">
        <v>525</v>
      </c>
      <c r="C3" s="860" t="s">
        <v>555</v>
      </c>
      <c r="D3" s="861" t="str">
        <f t="shared" ref="D3" ca="1" si="0">IF(F3&gt;0,$K$5,IF(E3&gt;$A$2,$K$3,$K$4))</f>
        <v>Target Missed</v>
      </c>
      <c r="E3" s="862">
        <v>45323</v>
      </c>
      <c r="F3" s="881"/>
      <c r="G3" s="890" t="s">
        <v>641</v>
      </c>
      <c r="H3" s="891"/>
      <c r="K3" s="857" t="s">
        <v>586</v>
      </c>
    </row>
    <row r="4" spans="1:11" ht="13.8" thickBot="1">
      <c r="A4" s="1079"/>
      <c r="B4" s="876" t="s">
        <v>525</v>
      </c>
      <c r="C4" s="852" t="s">
        <v>535</v>
      </c>
      <c r="D4" s="855" t="str">
        <f t="shared" ref="D4:D18" ca="1" si="1">IF(F4&gt;0,$K$5,IF(E4&gt;$A$2,$K$3,$K$4))</f>
        <v xml:space="preserve">Not Due </v>
      </c>
      <c r="E4" s="862">
        <v>45383</v>
      </c>
      <c r="F4" s="882"/>
      <c r="G4" s="890" t="s">
        <v>628</v>
      </c>
      <c r="H4" s="892"/>
      <c r="K4" s="858" t="s">
        <v>587</v>
      </c>
    </row>
    <row r="5" spans="1:11" ht="23.4" thickBot="1">
      <c r="A5" s="1079"/>
      <c r="B5" s="876" t="s">
        <v>525</v>
      </c>
      <c r="C5" s="852" t="s">
        <v>532</v>
      </c>
      <c r="D5" s="855" t="str">
        <f t="shared" ca="1" si="1"/>
        <v xml:space="preserve">Not Due </v>
      </c>
      <c r="E5" s="862">
        <v>45444</v>
      </c>
      <c r="F5" s="882"/>
      <c r="G5" s="890" t="s">
        <v>628</v>
      </c>
      <c r="H5" s="864"/>
      <c r="K5" s="858" t="s">
        <v>588</v>
      </c>
    </row>
    <row r="6" spans="1:11" ht="23.4" thickBot="1">
      <c r="A6" s="1079"/>
      <c r="B6" s="876" t="s">
        <v>525</v>
      </c>
      <c r="C6" s="852" t="s">
        <v>533</v>
      </c>
      <c r="D6" s="855" t="str">
        <f t="shared" ca="1" si="1"/>
        <v xml:space="preserve">Not Due </v>
      </c>
      <c r="E6" s="862">
        <v>45536</v>
      </c>
      <c r="F6" s="882"/>
      <c r="G6" s="890" t="s">
        <v>628</v>
      </c>
      <c r="H6" s="864"/>
      <c r="K6" s="859"/>
    </row>
    <row r="7" spans="1:11" ht="22.8">
      <c r="A7" s="1079"/>
      <c r="B7" s="876" t="s">
        <v>525</v>
      </c>
      <c r="C7" s="852" t="s">
        <v>534</v>
      </c>
      <c r="D7" s="855" t="str">
        <f t="shared" ca="1" si="1"/>
        <v xml:space="preserve">Not Due </v>
      </c>
      <c r="E7" s="862">
        <v>45566</v>
      </c>
      <c r="F7" s="882"/>
      <c r="G7" s="890" t="s">
        <v>628</v>
      </c>
      <c r="H7" s="864"/>
    </row>
    <row r="8" spans="1:11" ht="71.400000000000006">
      <c r="A8" s="1079"/>
      <c r="B8" s="877" t="s">
        <v>526</v>
      </c>
      <c r="C8" s="852" t="s">
        <v>531</v>
      </c>
      <c r="D8" s="855" t="str">
        <f t="shared" ca="1" si="1"/>
        <v>Target Missed</v>
      </c>
      <c r="E8" s="853">
        <v>45322</v>
      </c>
      <c r="F8" s="882"/>
      <c r="G8" s="900" t="s">
        <v>670</v>
      </c>
      <c r="H8" s="893"/>
    </row>
    <row r="9" spans="1:11" ht="30.6">
      <c r="A9" s="1079"/>
      <c r="B9" s="876" t="s">
        <v>536</v>
      </c>
      <c r="C9" s="852" t="s">
        <v>539</v>
      </c>
      <c r="D9" s="855" t="str">
        <f t="shared" si="1"/>
        <v>Achieved</v>
      </c>
      <c r="E9" s="853">
        <v>45169</v>
      </c>
      <c r="F9" s="882">
        <v>45169</v>
      </c>
      <c r="G9" s="900" t="s">
        <v>630</v>
      </c>
      <c r="H9" s="893"/>
    </row>
    <row r="10" spans="1:11" ht="30.6">
      <c r="A10" s="1079"/>
      <c r="B10" s="877" t="s">
        <v>527</v>
      </c>
      <c r="C10" s="852" t="s">
        <v>538</v>
      </c>
      <c r="D10" s="855" t="str">
        <f t="shared" si="1"/>
        <v>Achieved</v>
      </c>
      <c r="E10" s="853">
        <v>45199</v>
      </c>
      <c r="F10" s="882">
        <v>45231</v>
      </c>
      <c r="G10" s="900" t="s">
        <v>631</v>
      </c>
      <c r="H10" s="864"/>
    </row>
    <row r="11" spans="1:11" ht="40.799999999999997">
      <c r="A11" s="1079"/>
      <c r="B11" s="877" t="s">
        <v>537</v>
      </c>
      <c r="C11" s="852" t="s">
        <v>556</v>
      </c>
      <c r="D11" s="855" t="str">
        <f t="shared" si="1"/>
        <v>Achieved</v>
      </c>
      <c r="E11" s="853">
        <v>45139</v>
      </c>
      <c r="F11" s="882">
        <v>45200</v>
      </c>
      <c r="G11" s="900" t="s">
        <v>629</v>
      </c>
      <c r="H11" s="893"/>
    </row>
    <row r="12" spans="1:11" ht="22.8">
      <c r="A12" s="1079"/>
      <c r="B12" s="877" t="s">
        <v>528</v>
      </c>
      <c r="C12" s="852" t="s">
        <v>547</v>
      </c>
      <c r="D12" s="855" t="str">
        <f t="shared" si="1"/>
        <v>Achieved</v>
      </c>
      <c r="E12" s="853">
        <v>45169</v>
      </c>
      <c r="F12" s="882">
        <v>45169</v>
      </c>
      <c r="G12" s="900" t="s">
        <v>632</v>
      </c>
      <c r="H12" s="893"/>
    </row>
    <row r="13" spans="1:11" ht="20.399999999999999">
      <c r="A13" s="1079"/>
      <c r="B13" s="877" t="s">
        <v>540</v>
      </c>
      <c r="C13" s="852" t="s">
        <v>557</v>
      </c>
      <c r="D13" s="855" t="str">
        <f t="shared" si="1"/>
        <v>Achieved</v>
      </c>
      <c r="E13" s="853">
        <v>45138</v>
      </c>
      <c r="F13" s="882">
        <v>45169</v>
      </c>
      <c r="G13" s="900" t="s">
        <v>633</v>
      </c>
      <c r="H13" s="864"/>
    </row>
    <row r="14" spans="1:11" ht="30.6">
      <c r="A14" s="1079"/>
      <c r="B14" s="877" t="s">
        <v>540</v>
      </c>
      <c r="C14" s="852" t="s">
        <v>541</v>
      </c>
      <c r="D14" s="855" t="str">
        <f t="shared" si="1"/>
        <v>Achieved</v>
      </c>
      <c r="E14" s="853">
        <v>45138</v>
      </c>
      <c r="F14" s="882">
        <v>45261</v>
      </c>
      <c r="G14" s="900" t="s">
        <v>642</v>
      </c>
      <c r="H14" s="893"/>
    </row>
    <row r="15" spans="1:11" ht="20.399999999999999">
      <c r="A15" s="1079"/>
      <c r="B15" s="877" t="s">
        <v>529</v>
      </c>
      <c r="C15" s="852" t="s">
        <v>542</v>
      </c>
      <c r="D15" s="855" t="str">
        <f t="shared" si="1"/>
        <v>Achieved</v>
      </c>
      <c r="E15" s="853">
        <v>45138</v>
      </c>
      <c r="F15" s="882">
        <v>45139</v>
      </c>
      <c r="G15" s="900" t="s">
        <v>635</v>
      </c>
      <c r="H15" s="893"/>
    </row>
    <row r="16" spans="1:11" ht="30.6">
      <c r="A16" s="1079"/>
      <c r="B16" s="877" t="s">
        <v>529</v>
      </c>
      <c r="C16" s="852" t="s">
        <v>610</v>
      </c>
      <c r="D16" s="855" t="str">
        <f t="shared" ca="1" si="1"/>
        <v xml:space="preserve">Not Due </v>
      </c>
      <c r="E16" s="853">
        <v>45382</v>
      </c>
      <c r="F16" s="882"/>
      <c r="G16" s="900" t="s">
        <v>634</v>
      </c>
      <c r="H16" s="893"/>
    </row>
    <row r="17" spans="1:8" ht="26.4">
      <c r="A17" s="1079"/>
      <c r="B17" s="876" t="s">
        <v>543</v>
      </c>
      <c r="C17" s="852" t="s">
        <v>544</v>
      </c>
      <c r="D17" s="855" t="str">
        <f t="shared" si="1"/>
        <v>Achieved</v>
      </c>
      <c r="E17" s="853">
        <v>45138</v>
      </c>
      <c r="F17" s="882">
        <v>45138</v>
      </c>
      <c r="G17" s="900" t="s">
        <v>636</v>
      </c>
      <c r="H17" s="893"/>
    </row>
    <row r="18" spans="1:8" ht="27" thickBot="1">
      <c r="A18" s="1080"/>
      <c r="B18" s="878" t="s">
        <v>545</v>
      </c>
      <c r="C18" s="865" t="s">
        <v>546</v>
      </c>
      <c r="D18" s="866" t="str">
        <f t="shared" si="1"/>
        <v>Achieved</v>
      </c>
      <c r="E18" s="853">
        <v>45138</v>
      </c>
      <c r="F18" s="882">
        <v>45138</v>
      </c>
      <c r="G18" s="900" t="s">
        <v>636</v>
      </c>
      <c r="H18" s="894"/>
    </row>
    <row r="19" spans="1:8" ht="13.8" thickBot="1">
      <c r="A19" s="872"/>
      <c r="D19" s="856"/>
      <c r="G19" s="903"/>
      <c r="H19" s="873"/>
    </row>
    <row r="20" spans="1:8" ht="34.200000000000003">
      <c r="A20" s="1081" t="s">
        <v>549</v>
      </c>
      <c r="B20" s="879" t="s">
        <v>530</v>
      </c>
      <c r="C20" s="860" t="s">
        <v>551</v>
      </c>
      <c r="D20" s="861" t="str">
        <f>IF(F20&gt;0,$K$5,IF(E20&gt;$A$2,$K$3,$K$4))</f>
        <v>Achieved</v>
      </c>
      <c r="E20" s="862">
        <v>45169</v>
      </c>
      <c r="F20" s="882">
        <v>45230</v>
      </c>
      <c r="G20" s="890" t="s">
        <v>643</v>
      </c>
      <c r="H20" s="863"/>
    </row>
    <row r="21" spans="1:8" ht="51">
      <c r="A21" s="1082"/>
      <c r="B21" s="876" t="s">
        <v>550</v>
      </c>
      <c r="C21" s="852" t="s">
        <v>558</v>
      </c>
      <c r="D21" s="855" t="str">
        <f>IF(F21&gt;0,$K$5,IF(E21&gt;$A$2,$K$3,$K$4))</f>
        <v>Achieved</v>
      </c>
      <c r="E21" s="853">
        <v>45230</v>
      </c>
      <c r="F21" s="882">
        <v>45199</v>
      </c>
      <c r="G21" s="900" t="s">
        <v>671</v>
      </c>
      <c r="H21" s="864"/>
    </row>
    <row r="22" spans="1:8" ht="45.6">
      <c r="A22" s="1082"/>
      <c r="B22" s="877" t="s">
        <v>552</v>
      </c>
      <c r="C22" s="852" t="s">
        <v>559</v>
      </c>
      <c r="D22" s="855" t="str">
        <f>IF(F22&gt;0,$K$5,IF(E22&gt;$A$2,$K$3,$K$4))</f>
        <v>Achieved</v>
      </c>
      <c r="E22" s="853">
        <v>45169</v>
      </c>
      <c r="F22" s="882">
        <v>45199</v>
      </c>
      <c r="G22" s="900" t="s">
        <v>644</v>
      </c>
      <c r="H22" s="893"/>
    </row>
    <row r="23" spans="1:8" ht="34.200000000000003">
      <c r="A23" s="1082"/>
      <c r="B23" s="877" t="s">
        <v>552</v>
      </c>
      <c r="C23" s="852" t="s">
        <v>560</v>
      </c>
      <c r="D23" s="855" t="str">
        <f>IF(F23&gt;0,$K$5,IF(E23&gt;$A$2,$K$3,$K$4))</f>
        <v>Achieved</v>
      </c>
      <c r="E23" s="853">
        <v>45199</v>
      </c>
      <c r="F23" s="882">
        <v>45291</v>
      </c>
      <c r="G23" s="900" t="s">
        <v>672</v>
      </c>
      <c r="H23" s="893"/>
    </row>
    <row r="24" spans="1:8" ht="23.4" thickBot="1">
      <c r="A24" s="1083"/>
      <c r="B24" s="880" t="s">
        <v>553</v>
      </c>
      <c r="C24" s="865" t="s">
        <v>554</v>
      </c>
      <c r="D24" s="866" t="str">
        <f>IF(F24&gt;0,$K$5,IF(E24&gt;$A$2,$K$3,$K$4))</f>
        <v>Achieved</v>
      </c>
      <c r="E24" s="867">
        <v>45260</v>
      </c>
      <c r="F24" s="882">
        <v>45291</v>
      </c>
      <c r="G24" s="902" t="s">
        <v>673</v>
      </c>
      <c r="H24" s="868"/>
    </row>
    <row r="25" spans="1:8" ht="13.8" thickBot="1">
      <c r="A25" s="872"/>
      <c r="D25" s="856"/>
      <c r="G25" s="903"/>
      <c r="H25" s="873"/>
    </row>
    <row r="26" spans="1:8" ht="30.6">
      <c r="A26" s="1078" t="s">
        <v>1</v>
      </c>
      <c r="B26" s="879" t="s">
        <v>562</v>
      </c>
      <c r="C26" s="860" t="s">
        <v>600</v>
      </c>
      <c r="D26" s="861" t="str">
        <f t="shared" ref="D26:D31" ca="1" si="2">IF(F26&gt;0,$K$5,IF(E26&gt;$A$2,$K$3,$K$4))</f>
        <v>Target Missed</v>
      </c>
      <c r="E26" s="862">
        <v>45169</v>
      </c>
      <c r="F26" s="881"/>
      <c r="G26" s="890" t="s">
        <v>660</v>
      </c>
      <c r="H26" s="895"/>
    </row>
    <row r="27" spans="1:8" ht="22.8">
      <c r="A27" s="1079"/>
      <c r="B27" s="877" t="s">
        <v>561</v>
      </c>
      <c r="C27" s="852" t="s">
        <v>565</v>
      </c>
      <c r="D27" s="855" t="str">
        <f t="shared" ca="1" si="2"/>
        <v>Target Missed</v>
      </c>
      <c r="E27" s="853">
        <v>45291</v>
      </c>
      <c r="F27" s="882"/>
      <c r="G27" s="900" t="s">
        <v>645</v>
      </c>
      <c r="H27" s="864"/>
    </row>
    <row r="28" spans="1:8" ht="22.8">
      <c r="A28" s="1079"/>
      <c r="B28" s="877" t="s">
        <v>561</v>
      </c>
      <c r="C28" s="852" t="s">
        <v>566</v>
      </c>
      <c r="D28" s="855" t="str">
        <f t="shared" ca="1" si="2"/>
        <v>Target Missed</v>
      </c>
      <c r="E28" s="853">
        <v>45138</v>
      </c>
      <c r="F28" s="882"/>
      <c r="G28" s="900" t="s">
        <v>645</v>
      </c>
      <c r="H28" s="864"/>
    </row>
    <row r="29" spans="1:8" ht="30.6">
      <c r="A29" s="1079"/>
      <c r="B29" s="877" t="s">
        <v>563</v>
      </c>
      <c r="C29" s="852" t="s">
        <v>564</v>
      </c>
      <c r="D29" s="855" t="str">
        <f t="shared" ca="1" si="2"/>
        <v>Target Missed</v>
      </c>
      <c r="E29" s="853">
        <v>45322</v>
      </c>
      <c r="F29" s="882"/>
      <c r="G29" s="900" t="s">
        <v>661</v>
      </c>
      <c r="H29" s="893"/>
    </row>
    <row r="30" spans="1:8" ht="22.8">
      <c r="A30" s="1079"/>
      <c r="B30" s="877" t="s">
        <v>563</v>
      </c>
      <c r="C30" s="852" t="s">
        <v>569</v>
      </c>
      <c r="D30" s="855" t="str">
        <f t="shared" ca="1" si="2"/>
        <v>Target Missed</v>
      </c>
      <c r="E30" s="853">
        <v>45230</v>
      </c>
      <c r="F30" s="882"/>
      <c r="G30" s="900" t="s">
        <v>646</v>
      </c>
      <c r="H30" s="864"/>
    </row>
    <row r="31" spans="1:8" ht="34.200000000000003">
      <c r="A31" s="1079"/>
      <c r="B31" s="877" t="s">
        <v>563</v>
      </c>
      <c r="C31" s="852" t="s">
        <v>567</v>
      </c>
      <c r="D31" s="855" t="str">
        <f t="shared" ca="1" si="2"/>
        <v>Target Missed</v>
      </c>
      <c r="E31" s="853">
        <v>45199</v>
      </c>
      <c r="F31" s="882"/>
      <c r="G31" s="900" t="s">
        <v>647</v>
      </c>
      <c r="H31" s="864"/>
    </row>
    <row r="32" spans="1:8" ht="13.8" thickBot="1">
      <c r="A32" s="872"/>
      <c r="D32" s="856"/>
      <c r="G32" s="903"/>
      <c r="H32" s="873"/>
    </row>
    <row r="33" spans="1:8" ht="34.200000000000003">
      <c r="A33" s="1081" t="s">
        <v>572</v>
      </c>
      <c r="B33" s="879" t="s">
        <v>568</v>
      </c>
      <c r="C33" s="860" t="s">
        <v>612</v>
      </c>
      <c r="D33" s="861" t="str">
        <f ca="1">IF(F33&gt;0,$K$5,IF(E33&gt;$A$2,$K$3,$K$4))</f>
        <v>Target Missed</v>
      </c>
      <c r="E33" s="862">
        <v>45230</v>
      </c>
      <c r="F33" s="881"/>
      <c r="G33" s="890" t="s">
        <v>648</v>
      </c>
      <c r="H33" s="863"/>
    </row>
    <row r="34" spans="1:8" ht="61.2">
      <c r="A34" s="1082"/>
      <c r="B34" s="877" t="s">
        <v>568</v>
      </c>
      <c r="C34" s="852" t="s">
        <v>611</v>
      </c>
      <c r="D34" s="855" t="str">
        <f ca="1">IF(F34&gt;0,$K$5,IF(E34&gt;$A$2,$K$3,$K$4))</f>
        <v>Target Missed</v>
      </c>
      <c r="E34" s="853">
        <v>45169</v>
      </c>
      <c r="F34" s="882"/>
      <c r="G34" s="900" t="s">
        <v>662</v>
      </c>
      <c r="H34" s="893"/>
    </row>
    <row r="35" spans="1:8" ht="22.8">
      <c r="A35" s="1082"/>
      <c r="B35" s="877" t="s">
        <v>568</v>
      </c>
      <c r="C35" s="852" t="s">
        <v>570</v>
      </c>
      <c r="D35" s="855" t="str">
        <f ca="1">IF(F35&gt;0,$K$5,IF(E35&gt;$A$2,$K$3,$K$4))</f>
        <v>Target Missed</v>
      </c>
      <c r="E35" s="853">
        <v>45169</v>
      </c>
      <c r="F35" s="882"/>
      <c r="G35" s="900" t="s">
        <v>649</v>
      </c>
      <c r="H35" s="893"/>
    </row>
    <row r="36" spans="1:8" ht="34.200000000000003">
      <c r="A36" s="1082"/>
      <c r="B36" s="877" t="s">
        <v>568</v>
      </c>
      <c r="C36" s="852" t="s">
        <v>593</v>
      </c>
      <c r="D36" s="855" t="str">
        <f ca="1">IF(F36&gt;0,$K$5,IF(E36&gt;$A$2,$K$3,$K$4))</f>
        <v>Target Missed</v>
      </c>
      <c r="E36" s="853">
        <v>45169</v>
      </c>
      <c r="F36" s="882"/>
      <c r="G36" s="900" t="s">
        <v>649</v>
      </c>
      <c r="H36" s="864"/>
    </row>
    <row r="37" spans="1:8" ht="34.799999999999997" thickBot="1">
      <c r="A37" s="1083"/>
      <c r="B37" s="880" t="s">
        <v>162</v>
      </c>
      <c r="C37" s="865" t="s">
        <v>571</v>
      </c>
      <c r="D37" s="866" t="str">
        <f ca="1">IF(F37&gt;0,$K$5,IF(E37&gt;$A$2,$K$3,$K$4))</f>
        <v>Target Missed</v>
      </c>
      <c r="E37" s="867">
        <v>45322</v>
      </c>
      <c r="F37" s="883"/>
      <c r="G37" s="902" t="s">
        <v>663</v>
      </c>
      <c r="H37" s="894"/>
    </row>
    <row r="38" spans="1:8" ht="13.8" thickBot="1">
      <c r="A38" s="872"/>
      <c r="B38" s="856"/>
      <c r="C38" s="869"/>
      <c r="D38" s="856"/>
      <c r="E38" s="870"/>
      <c r="F38" s="870"/>
      <c r="G38" s="904"/>
      <c r="H38" s="874"/>
    </row>
    <row r="39" spans="1:8" ht="61.2">
      <c r="A39" s="1078" t="s">
        <v>169</v>
      </c>
      <c r="B39" s="879" t="s">
        <v>573</v>
      </c>
      <c r="C39" s="860" t="s">
        <v>594</v>
      </c>
      <c r="D39" s="861" t="str">
        <f ca="1">IF(F39&gt;0,$K$5,IF(E39&gt;$A$2,$K$3,$K$4))</f>
        <v xml:space="preserve">Not Due </v>
      </c>
      <c r="E39" s="862">
        <v>45351</v>
      </c>
      <c r="F39" s="881"/>
      <c r="G39" s="890" t="s">
        <v>664</v>
      </c>
      <c r="H39" s="863"/>
    </row>
    <row r="40" spans="1:8">
      <c r="A40" s="1079"/>
      <c r="B40" s="877" t="s">
        <v>574</v>
      </c>
      <c r="C40" s="852" t="s">
        <v>575</v>
      </c>
      <c r="D40" s="855" t="str">
        <f>IF(F40&gt;0,$K$5,IF(E40&gt;$A$2,$K$3,$K$4))</f>
        <v>Achieved</v>
      </c>
      <c r="E40" s="853">
        <v>45169</v>
      </c>
      <c r="F40" s="882">
        <v>45237</v>
      </c>
      <c r="G40" s="900" t="s">
        <v>650</v>
      </c>
      <c r="H40" s="864"/>
    </row>
    <row r="41" spans="1:8" ht="22.8">
      <c r="A41" s="1079"/>
      <c r="B41" s="877" t="s">
        <v>574</v>
      </c>
      <c r="C41" s="852" t="s">
        <v>576</v>
      </c>
      <c r="D41" s="855" t="str">
        <f ca="1">IF(F41&gt;0,$K$5,IF(E41&gt;$A$2,$K$3,$K$4))</f>
        <v>Target Missed</v>
      </c>
      <c r="E41" s="853">
        <v>45322</v>
      </c>
      <c r="F41" s="882"/>
      <c r="G41" s="900" t="s">
        <v>651</v>
      </c>
      <c r="H41" s="893"/>
    </row>
    <row r="42" spans="1:8" ht="40.799999999999997">
      <c r="A42" s="1079"/>
      <c r="B42" s="877" t="s">
        <v>595</v>
      </c>
      <c r="C42" s="852" t="s">
        <v>596</v>
      </c>
      <c r="D42" s="855" t="str">
        <f ca="1">IF(F42&gt;0,$K$5,IF(E42&gt;$A$2,$K$3,$K$4))</f>
        <v xml:space="preserve">Not Due </v>
      </c>
      <c r="E42" s="853">
        <v>45382</v>
      </c>
      <c r="F42" s="882"/>
      <c r="G42" s="900" t="s">
        <v>665</v>
      </c>
      <c r="H42" s="893"/>
    </row>
    <row r="43" spans="1:8" ht="23.4" thickBot="1">
      <c r="A43" s="1080"/>
      <c r="B43" s="880" t="s">
        <v>595</v>
      </c>
      <c r="C43" s="865" t="s">
        <v>597</v>
      </c>
      <c r="D43" s="866" t="str">
        <f>IF(F43&gt;0,$K$5,IF(E43&gt;$A$2,$K$3,$K$4))</f>
        <v>Achieved</v>
      </c>
      <c r="E43" s="853">
        <v>45169</v>
      </c>
      <c r="F43" s="883">
        <v>45169</v>
      </c>
      <c r="G43" s="900" t="s">
        <v>652</v>
      </c>
      <c r="H43" s="894"/>
    </row>
    <row r="44" spans="1:8" ht="13.8" thickBot="1">
      <c r="A44" s="872"/>
      <c r="D44" s="856"/>
      <c r="F44" s="884"/>
      <c r="G44" s="903"/>
      <c r="H44" s="873"/>
    </row>
    <row r="45" spans="1:8" ht="22.8">
      <c r="A45" s="1076" t="s">
        <v>582</v>
      </c>
      <c r="B45" s="879" t="s">
        <v>577</v>
      </c>
      <c r="C45" s="860" t="s">
        <v>578</v>
      </c>
      <c r="D45" s="861" t="str">
        <f t="shared" ref="D45:D50" ca="1" si="3">IF(F45&gt;0,$K$5,IF(E45&gt;$A$2,$K$3,$K$4))</f>
        <v>Target Missed</v>
      </c>
      <c r="E45" s="862">
        <v>45138</v>
      </c>
      <c r="F45" s="881"/>
      <c r="G45" s="890" t="s">
        <v>666</v>
      </c>
      <c r="H45" s="895"/>
    </row>
    <row r="46" spans="1:8" ht="40.799999999999997">
      <c r="A46" s="1077"/>
      <c r="B46" s="877" t="s">
        <v>577</v>
      </c>
      <c r="C46" s="852" t="s">
        <v>579</v>
      </c>
      <c r="D46" s="855" t="str">
        <f t="shared" ca="1" si="3"/>
        <v>Target Missed</v>
      </c>
      <c r="E46" s="853">
        <v>45322</v>
      </c>
      <c r="F46" s="882"/>
      <c r="G46" s="900" t="s">
        <v>668</v>
      </c>
      <c r="H46" s="864"/>
    </row>
    <row r="47" spans="1:8" ht="22.8">
      <c r="A47" s="1077"/>
      <c r="B47" s="877" t="s">
        <v>577</v>
      </c>
      <c r="C47" s="852" t="s">
        <v>598</v>
      </c>
      <c r="D47" s="855" t="str">
        <f t="shared" ca="1" si="3"/>
        <v>Target Missed</v>
      </c>
      <c r="E47" s="853">
        <v>45291</v>
      </c>
      <c r="F47" s="882"/>
      <c r="G47" s="900" t="s">
        <v>669</v>
      </c>
      <c r="H47" s="864"/>
    </row>
    <row r="48" spans="1:8" ht="22.8">
      <c r="A48" s="1077"/>
      <c r="B48" s="877" t="s">
        <v>187</v>
      </c>
      <c r="C48" s="852" t="s">
        <v>580</v>
      </c>
      <c r="D48" s="855" t="str">
        <f t="shared" ca="1" si="3"/>
        <v>Target Missed</v>
      </c>
      <c r="E48" s="853">
        <v>45138</v>
      </c>
      <c r="F48" s="882"/>
      <c r="G48" s="900" t="s">
        <v>667</v>
      </c>
      <c r="H48" s="864"/>
    </row>
    <row r="49" spans="1:8">
      <c r="A49" s="1077"/>
      <c r="B49" s="877" t="s">
        <v>187</v>
      </c>
      <c r="C49" s="852" t="s">
        <v>581</v>
      </c>
      <c r="D49" s="855" t="str">
        <f t="shared" ca="1" si="3"/>
        <v xml:space="preserve">Not Due </v>
      </c>
      <c r="E49" s="853">
        <v>45382</v>
      </c>
      <c r="F49" s="882"/>
      <c r="G49" s="900"/>
      <c r="H49" s="864"/>
    </row>
    <row r="50" spans="1:8" ht="22.8">
      <c r="A50" s="1077"/>
      <c r="B50" s="877" t="s">
        <v>379</v>
      </c>
      <c r="C50" s="852" t="s">
        <v>599</v>
      </c>
      <c r="D50" s="855" t="str">
        <f t="shared" ca="1" si="3"/>
        <v>Target Missed</v>
      </c>
      <c r="E50" s="853">
        <v>45230</v>
      </c>
      <c r="F50" s="882"/>
      <c r="G50" s="900" t="s">
        <v>653</v>
      </c>
      <c r="H50" s="864"/>
    </row>
  </sheetData>
  <mergeCells count="7">
    <mergeCell ref="E1:G1"/>
    <mergeCell ref="A45:A50"/>
    <mergeCell ref="A3:A18"/>
    <mergeCell ref="A20:A24"/>
    <mergeCell ref="A26:A31"/>
    <mergeCell ref="A33:A37"/>
    <mergeCell ref="A39:A43"/>
  </mergeCells>
  <pageMargins left="0.70866141732283472" right="0.70866141732283472" top="0.74803149606299213" bottom="0.74803149606299213" header="0.31496062992125984" footer="0.31496062992125984"/>
  <pageSetup paperSize="9" scale="61" fitToHeight="2" orientation="landscape" r:id="rId1"/>
  <rowBreaks count="1" manualBreakCount="1">
    <brk id="24"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28" operator="containsText" id="{BA3D91D3-E42C-46A5-A199-BF79FC04527B}">
            <xm:f>NOT(ISERROR(SEARCH($K$4,D3)))</xm:f>
            <xm:f>$K$4</xm:f>
            <x14:dxf>
              <fill>
                <gradientFill degree="90">
                  <stop position="0">
                    <color theme="0"/>
                  </stop>
                  <stop position="0.5">
                    <color rgb="FFFF6D6D"/>
                  </stop>
                  <stop position="1">
                    <color theme="0"/>
                  </stop>
                </gradientFill>
              </fill>
            </x14:dxf>
          </x14:cfRule>
          <x14:cfRule type="containsText" priority="29" operator="containsText" id="{A1137900-D4D9-41ED-8DAA-590024663819}">
            <xm:f>NOT(ISERROR(SEARCH($K$5,D3)))</xm:f>
            <xm:f>$K$5</xm:f>
            <x14:dxf>
              <fill>
                <gradientFill degree="90">
                  <stop position="0">
                    <color theme="0"/>
                  </stop>
                  <stop position="0.5">
                    <color rgb="FF9AC87A"/>
                  </stop>
                  <stop position="1">
                    <color theme="0"/>
                  </stop>
                </gradientFill>
              </fill>
            </x14:dxf>
          </x14:cfRule>
          <xm:sqref>D20:D24 D3:D18 D33:D37 D45:D50</xm:sqref>
        </x14:conditionalFormatting>
        <x14:conditionalFormatting xmlns:xm="http://schemas.microsoft.com/office/excel/2006/main">
          <x14:cfRule type="containsText" priority="27" operator="containsText" id="{0A6BC8DB-7580-461B-8BC4-BC1F51B08826}">
            <xm:f>NOT(ISERROR(SEARCH($K$3,D3)))</xm:f>
            <xm:f>$K$3</xm:f>
            <x14:dxf>
              <fill>
                <gradientFill degree="90">
                  <stop position="0">
                    <color theme="0"/>
                  </stop>
                  <stop position="0.5">
                    <color theme="4" tint="0.40000610370189521"/>
                  </stop>
                  <stop position="1">
                    <color theme="0"/>
                  </stop>
                </gradientFill>
              </fill>
            </x14:dxf>
          </x14:cfRule>
          <xm:sqref>D3:D18 D33:D37 D45:D50</xm:sqref>
        </x14:conditionalFormatting>
        <x14:conditionalFormatting xmlns:xm="http://schemas.microsoft.com/office/excel/2006/main">
          <x14:cfRule type="containsText" priority="14" operator="containsText" id="{E896A63F-1D27-4014-A061-2E74349B5753}">
            <xm:f>NOT(ISERROR(SEARCH($K$3,D20)))</xm:f>
            <xm:f>$K$3</xm:f>
            <x14:dxf>
              <fill>
                <gradientFill degree="90">
                  <stop position="0">
                    <color theme="0"/>
                  </stop>
                  <stop position="0.5">
                    <color theme="4" tint="0.40000610370189521"/>
                  </stop>
                  <stop position="1">
                    <color theme="0"/>
                  </stop>
                </gradientFill>
              </fill>
            </x14:dxf>
          </x14:cfRule>
          <xm:sqref>D20:D24</xm:sqref>
        </x14:conditionalFormatting>
        <x14:conditionalFormatting xmlns:xm="http://schemas.microsoft.com/office/excel/2006/main">
          <x14:cfRule type="containsText" priority="13" operator="containsText" id="{BCAEAAD3-F733-49BD-A1F7-1C0608BF8F12}">
            <xm:f>NOT(ISERROR(SEARCH($K$3,D20)))</xm:f>
            <xm:f>$K$3</xm:f>
            <x14:dxf>
              <fill>
                <gradientFill degree="90">
                  <stop position="0">
                    <color theme="0"/>
                  </stop>
                  <stop position="0.5">
                    <color theme="4" tint="0.40000610370189521"/>
                  </stop>
                  <stop position="1">
                    <color theme="0"/>
                  </stop>
                </gradientFill>
              </fill>
            </x14:dxf>
          </x14:cfRule>
          <xm:sqref>D20:D24</xm:sqref>
        </x14:conditionalFormatting>
        <x14:conditionalFormatting xmlns:xm="http://schemas.microsoft.com/office/excel/2006/main">
          <x14:cfRule type="containsText" priority="11" operator="containsText" id="{2398D134-3281-46C2-AE95-B8150126E19F}">
            <xm:f>NOT(ISERROR(SEARCH($K$4,D26)))</xm:f>
            <xm:f>$K$4</xm:f>
            <x14:dxf>
              <fill>
                <gradientFill degree="90">
                  <stop position="0">
                    <color theme="0"/>
                  </stop>
                  <stop position="0.5">
                    <color rgb="FFFF6D6D"/>
                  </stop>
                  <stop position="1">
                    <color theme="0"/>
                  </stop>
                </gradientFill>
              </fill>
            </x14:dxf>
          </x14:cfRule>
          <x14:cfRule type="containsText" priority="12" operator="containsText" id="{CA4CCA06-6422-4D29-A21B-1A2735FA8EBB}">
            <xm:f>NOT(ISERROR(SEARCH($K$5,D26)))</xm:f>
            <xm:f>$K$5</xm:f>
            <x14:dxf>
              <fill>
                <gradientFill degree="90">
                  <stop position="0">
                    <color theme="0"/>
                  </stop>
                  <stop position="0.5">
                    <color rgb="FF9AC87A"/>
                  </stop>
                  <stop position="1">
                    <color theme="0"/>
                  </stop>
                </gradientFill>
              </fill>
            </x14:dxf>
          </x14:cfRule>
          <xm:sqref>D26:D31</xm:sqref>
        </x14:conditionalFormatting>
        <x14:conditionalFormatting xmlns:xm="http://schemas.microsoft.com/office/excel/2006/main">
          <x14:cfRule type="containsText" priority="10" operator="containsText" id="{8E465072-22AC-4CB1-8815-58222F952C61}">
            <xm:f>NOT(ISERROR(SEARCH($K$3,D26)))</xm:f>
            <xm:f>$K$3</xm:f>
            <x14:dxf>
              <fill>
                <gradientFill degree="90">
                  <stop position="0">
                    <color theme="0"/>
                  </stop>
                  <stop position="0.5">
                    <color theme="4" tint="0.40000610370189521"/>
                  </stop>
                  <stop position="1">
                    <color theme="0"/>
                  </stop>
                </gradientFill>
              </fill>
            </x14:dxf>
          </x14:cfRule>
          <xm:sqref>D26:D31</xm:sqref>
        </x14:conditionalFormatting>
        <x14:conditionalFormatting xmlns:xm="http://schemas.microsoft.com/office/excel/2006/main">
          <x14:cfRule type="containsText" priority="5" operator="containsText" id="{43C2679B-6C52-4F85-8DC4-55687EACD1FC}">
            <xm:f>NOT(ISERROR(SEARCH($K$4,D39)))</xm:f>
            <xm:f>$K$4</xm:f>
            <x14:dxf>
              <fill>
                <gradientFill degree="90">
                  <stop position="0">
                    <color theme="0"/>
                  </stop>
                  <stop position="0.5">
                    <color rgb="FFFF6D6D"/>
                  </stop>
                  <stop position="1">
                    <color theme="0"/>
                  </stop>
                </gradientFill>
              </fill>
            </x14:dxf>
          </x14:cfRule>
          <x14:cfRule type="containsText" priority="6" operator="containsText" id="{602A54AB-1835-49B0-80E9-1E6AC3CDE1F9}">
            <xm:f>NOT(ISERROR(SEARCH($K$5,D39)))</xm:f>
            <xm:f>$K$5</xm:f>
            <x14:dxf>
              <fill>
                <gradientFill degree="90">
                  <stop position="0">
                    <color theme="0"/>
                  </stop>
                  <stop position="0.5">
                    <color rgb="FF9AC87A"/>
                  </stop>
                  <stop position="1">
                    <color theme="0"/>
                  </stop>
                </gradientFill>
              </fill>
            </x14:dxf>
          </x14:cfRule>
          <xm:sqref>D39:D43</xm:sqref>
        </x14:conditionalFormatting>
        <x14:conditionalFormatting xmlns:xm="http://schemas.microsoft.com/office/excel/2006/main">
          <x14:cfRule type="containsText" priority="4" operator="containsText" id="{65458004-525D-45B9-81E8-6E74BC5ADBFC}">
            <xm:f>NOT(ISERROR(SEARCH($K$3,D39)))</xm:f>
            <xm:f>$K$3</xm:f>
            <x14:dxf>
              <fill>
                <gradientFill degree="90">
                  <stop position="0">
                    <color theme="0"/>
                  </stop>
                  <stop position="0.5">
                    <color theme="4" tint="0.40000610370189521"/>
                  </stop>
                  <stop position="1">
                    <color theme="0"/>
                  </stop>
                </gradientFill>
              </fill>
            </x14:dxf>
          </x14:cfRule>
          <xm:sqref>D39:D43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61B06-9F03-45E6-92F8-2C00D21CD853}">
  <dimension ref="A1:P56"/>
  <sheetViews>
    <sheetView showGridLines="0" workbookViewId="0">
      <selection sqref="A1:J22"/>
    </sheetView>
  </sheetViews>
  <sheetFormatPr defaultRowHeight="14.4"/>
  <cols>
    <col min="1" max="1" width="33.6640625" customWidth="1"/>
    <col min="2" max="16" width="9.33203125" customWidth="1"/>
  </cols>
  <sheetData>
    <row r="1" spans="1:16">
      <c r="A1" s="1" t="str">
        <f>muni&amp;" - "&amp; TableA30</f>
        <v>Choose name from list - Supporting Table SA30 Budgeted monthly cash flow</v>
      </c>
      <c r="B1" s="1"/>
      <c r="C1" s="1"/>
      <c r="D1" s="1"/>
      <c r="E1" s="1"/>
      <c r="F1" s="743" t="s">
        <v>478</v>
      </c>
      <c r="G1" s="1"/>
      <c r="H1" s="1"/>
      <c r="I1" s="1"/>
      <c r="J1" s="1"/>
      <c r="K1" s="1"/>
      <c r="L1" s="1"/>
      <c r="M1" s="1"/>
      <c r="N1" s="1"/>
      <c r="O1" s="1"/>
      <c r="P1" s="1"/>
    </row>
    <row r="2" spans="1:16" ht="30.6" customHeight="1">
      <c r="A2" s="75" t="s">
        <v>91</v>
      </c>
      <c r="B2" s="1084" t="str">
        <f>Head9</f>
        <v>Budget Year 2021/22</v>
      </c>
      <c r="C2" s="1085"/>
      <c r="D2" s="1085"/>
      <c r="E2" s="1085"/>
      <c r="F2" s="1085"/>
      <c r="G2" s="1085"/>
      <c r="H2" s="1085"/>
      <c r="I2" s="1085"/>
      <c r="J2" s="1085"/>
      <c r="K2" s="1085"/>
      <c r="L2" s="1085"/>
      <c r="M2" s="1085"/>
      <c r="N2" s="1086" t="s">
        <v>92</v>
      </c>
      <c r="O2" s="1087"/>
      <c r="P2" s="1088"/>
    </row>
    <row r="3" spans="1:16" ht="20.399999999999999">
      <c r="A3" s="7" t="s">
        <v>5</v>
      </c>
      <c r="B3" s="76" t="s">
        <v>93</v>
      </c>
      <c r="C3" s="77" t="s">
        <v>94</v>
      </c>
      <c r="D3" s="77" t="s">
        <v>95</v>
      </c>
      <c r="E3" s="77" t="s">
        <v>96</v>
      </c>
      <c r="F3" s="77" t="s">
        <v>97</v>
      </c>
      <c r="G3" s="77" t="s">
        <v>98</v>
      </c>
      <c r="H3" s="77" t="s">
        <v>99</v>
      </c>
      <c r="I3" s="77" t="s">
        <v>100</v>
      </c>
      <c r="J3" s="77" t="s">
        <v>101</v>
      </c>
      <c r="K3" s="77" t="s">
        <v>102</v>
      </c>
      <c r="L3" s="77" t="s">
        <v>103</v>
      </c>
      <c r="M3" s="9" t="s">
        <v>104</v>
      </c>
      <c r="N3" s="76" t="s">
        <v>122</v>
      </c>
      <c r="O3" s="77" t="s">
        <v>123</v>
      </c>
      <c r="P3" s="78" t="s">
        <v>124</v>
      </c>
    </row>
    <row r="4" spans="1:16">
      <c r="A4" s="10" t="s">
        <v>105</v>
      </c>
      <c r="B4" s="79"/>
      <c r="C4" s="80"/>
      <c r="D4" s="80"/>
      <c r="E4" s="80"/>
      <c r="F4" s="80"/>
      <c r="G4" s="80"/>
      <c r="H4" s="80"/>
      <c r="I4" s="80"/>
      <c r="J4" s="80"/>
      <c r="K4" s="80"/>
      <c r="L4" s="80"/>
      <c r="M4" s="81"/>
      <c r="N4" s="82">
        <v>1</v>
      </c>
      <c r="O4" s="80"/>
      <c r="P4" s="83"/>
    </row>
    <row r="5" spans="1:16">
      <c r="A5" s="14" t="s">
        <v>7</v>
      </c>
      <c r="B5" s="29"/>
      <c r="C5" s="29"/>
      <c r="D5" s="29"/>
      <c r="E5" s="29"/>
      <c r="F5" s="29"/>
      <c r="G5" s="29"/>
      <c r="H5" s="29"/>
      <c r="I5" s="29"/>
      <c r="J5" s="29"/>
      <c r="K5" s="29"/>
      <c r="L5" s="29"/>
      <c r="M5" s="23"/>
      <c r="N5" s="29"/>
      <c r="O5" s="25"/>
      <c r="P5" s="30"/>
    </row>
    <row r="6" spans="1:16">
      <c r="A6" s="14" t="s">
        <v>8</v>
      </c>
      <c r="B6" s="29"/>
      <c r="C6" s="29"/>
      <c r="D6" s="29"/>
      <c r="E6" s="29"/>
      <c r="F6" s="29"/>
      <c r="G6" s="29"/>
      <c r="H6" s="29"/>
      <c r="I6" s="29"/>
      <c r="J6" s="29"/>
      <c r="K6" s="29"/>
      <c r="L6" s="29"/>
      <c r="M6" s="23"/>
      <c r="N6" s="29"/>
      <c r="O6" s="25"/>
      <c r="P6" s="30"/>
    </row>
    <row r="7" spans="1:16">
      <c r="A7" s="14" t="s">
        <v>9</v>
      </c>
      <c r="B7" s="29"/>
      <c r="C7" s="29"/>
      <c r="D7" s="29"/>
      <c r="E7" s="29"/>
      <c r="F7" s="29"/>
      <c r="G7" s="29"/>
      <c r="H7" s="29"/>
      <c r="I7" s="29"/>
      <c r="J7" s="29"/>
      <c r="K7" s="29"/>
      <c r="L7" s="29"/>
      <c r="M7" s="23"/>
      <c r="N7" s="29"/>
      <c r="O7" s="25"/>
      <c r="P7" s="30"/>
    </row>
    <row r="8" spans="1:16">
      <c r="A8" s="14" t="s">
        <v>10</v>
      </c>
      <c r="B8" s="29"/>
      <c r="C8" s="29"/>
      <c r="D8" s="29"/>
      <c r="E8" s="29"/>
      <c r="F8" s="29"/>
      <c r="G8" s="29"/>
      <c r="H8" s="29"/>
      <c r="I8" s="29"/>
      <c r="J8" s="29"/>
      <c r="K8" s="29"/>
      <c r="L8" s="29"/>
      <c r="M8" s="23"/>
      <c r="N8" s="29"/>
      <c r="O8" s="25"/>
      <c r="P8" s="30"/>
    </row>
    <row r="9" spans="1:16">
      <c r="A9" s="14" t="s">
        <v>11</v>
      </c>
      <c r="B9" s="29"/>
      <c r="C9" s="29"/>
      <c r="D9" s="29"/>
      <c r="E9" s="29"/>
      <c r="F9" s="29"/>
      <c r="G9" s="29"/>
      <c r="H9" s="29"/>
      <c r="I9" s="29"/>
      <c r="J9" s="29"/>
      <c r="K9" s="29"/>
      <c r="L9" s="29"/>
      <c r="M9" s="23"/>
      <c r="N9" s="29"/>
      <c r="O9" s="25"/>
      <c r="P9" s="30"/>
    </row>
    <row r="10" spans="1:16">
      <c r="A10" s="14" t="s">
        <v>12</v>
      </c>
      <c r="B10" s="29"/>
      <c r="C10" s="29"/>
      <c r="D10" s="29"/>
      <c r="E10" s="29"/>
      <c r="F10" s="29"/>
      <c r="G10" s="29"/>
      <c r="H10" s="29"/>
      <c r="I10" s="29"/>
      <c r="J10" s="29"/>
      <c r="K10" s="29"/>
      <c r="L10" s="29"/>
      <c r="M10" s="23"/>
      <c r="N10" s="29"/>
      <c r="O10" s="25"/>
      <c r="P10" s="30"/>
    </row>
    <row r="11" spans="1:16">
      <c r="A11" s="14" t="s">
        <v>13</v>
      </c>
      <c r="B11" s="29"/>
      <c r="C11" s="29"/>
      <c r="D11" s="29"/>
      <c r="E11" s="29"/>
      <c r="F11" s="29"/>
      <c r="G11" s="29"/>
      <c r="H11" s="29"/>
      <c r="I11" s="29"/>
      <c r="J11" s="29"/>
      <c r="K11" s="29"/>
      <c r="L11" s="29"/>
      <c r="M11" s="23"/>
      <c r="N11" s="29"/>
      <c r="O11" s="25"/>
      <c r="P11" s="30"/>
    </row>
    <row r="12" spans="1:16">
      <c r="A12" s="14" t="s">
        <v>14</v>
      </c>
      <c r="B12" s="29"/>
      <c r="C12" s="29"/>
      <c r="D12" s="29"/>
      <c r="E12" s="29"/>
      <c r="F12" s="29"/>
      <c r="G12" s="29"/>
      <c r="H12" s="29"/>
      <c r="I12" s="29"/>
      <c r="J12" s="29"/>
      <c r="K12" s="29"/>
      <c r="L12" s="29"/>
      <c r="M12" s="23"/>
      <c r="N12" s="29"/>
      <c r="O12" s="25"/>
      <c r="P12" s="30"/>
    </row>
    <row r="13" spans="1:16">
      <c r="A13" s="14" t="s">
        <v>15</v>
      </c>
      <c r="B13" s="29"/>
      <c r="C13" s="29"/>
      <c r="D13" s="29"/>
      <c r="E13" s="29"/>
      <c r="F13" s="29"/>
      <c r="G13" s="29"/>
      <c r="H13" s="29"/>
      <c r="I13" s="29"/>
      <c r="J13" s="29"/>
      <c r="K13" s="29"/>
      <c r="L13" s="29"/>
      <c r="M13" s="23"/>
      <c r="N13" s="29"/>
      <c r="O13" s="25"/>
      <c r="P13" s="30"/>
    </row>
    <row r="14" spans="1:16">
      <c r="A14" s="14" t="s">
        <v>16</v>
      </c>
      <c r="B14" s="29"/>
      <c r="C14" s="29"/>
      <c r="D14" s="29"/>
      <c r="E14" s="29"/>
      <c r="F14" s="29"/>
      <c r="G14" s="29"/>
      <c r="H14" s="29"/>
      <c r="I14" s="29"/>
      <c r="J14" s="29"/>
      <c r="K14" s="29"/>
      <c r="L14" s="29"/>
      <c r="M14" s="23"/>
      <c r="N14" s="29"/>
      <c r="O14" s="25"/>
      <c r="P14" s="30"/>
    </row>
    <row r="15" spans="1:16">
      <c r="A15" s="14" t="s">
        <v>17</v>
      </c>
      <c r="B15" s="29"/>
      <c r="C15" s="29"/>
      <c r="D15" s="29"/>
      <c r="E15" s="29"/>
      <c r="F15" s="29"/>
      <c r="G15" s="29"/>
      <c r="H15" s="29"/>
      <c r="I15" s="29"/>
      <c r="J15" s="29"/>
      <c r="K15" s="29"/>
      <c r="L15" s="29"/>
      <c r="M15" s="23"/>
      <c r="N15" s="29"/>
      <c r="O15" s="25"/>
      <c r="P15" s="30"/>
    </row>
    <row r="16" spans="1:16">
      <c r="A16" s="14" t="s">
        <v>18</v>
      </c>
      <c r="B16" s="29"/>
      <c r="C16" s="29"/>
      <c r="D16" s="29"/>
      <c r="E16" s="29"/>
      <c r="F16" s="29"/>
      <c r="G16" s="29"/>
      <c r="H16" s="29"/>
      <c r="I16" s="29"/>
      <c r="J16" s="29"/>
      <c r="K16" s="29"/>
      <c r="L16" s="29"/>
      <c r="M16" s="23"/>
      <c r="N16" s="29"/>
      <c r="O16" s="25"/>
      <c r="P16" s="30"/>
    </row>
    <row r="17" spans="1:16">
      <c r="A17" s="14" t="s">
        <v>19</v>
      </c>
      <c r="B17" s="29"/>
      <c r="C17" s="29"/>
      <c r="D17" s="29"/>
      <c r="E17" s="29"/>
      <c r="F17" s="29"/>
      <c r="G17" s="29"/>
      <c r="H17" s="29"/>
      <c r="I17" s="29"/>
      <c r="J17" s="29"/>
      <c r="K17" s="29"/>
      <c r="L17" s="29"/>
      <c r="M17" s="23"/>
      <c r="N17" s="29"/>
      <c r="O17" s="25"/>
      <c r="P17" s="30"/>
    </row>
    <row r="18" spans="1:16">
      <c r="A18" s="14" t="s">
        <v>61</v>
      </c>
      <c r="B18" s="29"/>
      <c r="C18" s="29"/>
      <c r="D18" s="29"/>
      <c r="E18" s="29"/>
      <c r="F18" s="29"/>
      <c r="G18" s="29"/>
      <c r="H18" s="29"/>
      <c r="I18" s="29"/>
      <c r="J18" s="29"/>
      <c r="K18" s="29"/>
      <c r="L18" s="29"/>
      <c r="M18" s="23"/>
      <c r="N18" s="29"/>
      <c r="O18" s="25"/>
      <c r="P18" s="30"/>
    </row>
    <row r="19" spans="1:16">
      <c r="A19" s="14" t="s">
        <v>21</v>
      </c>
      <c r="B19" s="29"/>
      <c r="C19" s="29"/>
      <c r="D19" s="29"/>
      <c r="E19" s="29"/>
      <c r="F19" s="29"/>
      <c r="G19" s="29"/>
      <c r="H19" s="29"/>
      <c r="I19" s="29"/>
      <c r="J19" s="29"/>
      <c r="K19" s="29"/>
      <c r="L19" s="29"/>
      <c r="M19" s="23"/>
      <c r="N19" s="29"/>
      <c r="O19" s="25"/>
      <c r="P19" s="30"/>
    </row>
    <row r="20" spans="1:16">
      <c r="A20" s="54" t="s">
        <v>106</v>
      </c>
      <c r="B20" s="51"/>
      <c r="C20" s="48"/>
      <c r="D20" s="48"/>
      <c r="E20" s="48"/>
      <c r="F20" s="48"/>
      <c r="G20" s="48"/>
      <c r="H20" s="48"/>
      <c r="I20" s="48"/>
      <c r="J20" s="48"/>
      <c r="K20" s="48"/>
      <c r="L20" s="48"/>
      <c r="M20" s="49"/>
      <c r="N20" s="51"/>
      <c r="O20" s="48"/>
      <c r="P20" s="84"/>
    </row>
    <row r="21" spans="1:16">
      <c r="A21" s="41"/>
      <c r="B21" s="18"/>
      <c r="C21" s="16"/>
      <c r="D21" s="16"/>
      <c r="E21" s="16"/>
      <c r="F21" s="16"/>
      <c r="G21" s="16"/>
      <c r="H21" s="16"/>
      <c r="I21" s="16"/>
      <c r="J21" s="16"/>
      <c r="K21" s="16"/>
      <c r="L21" s="16"/>
      <c r="M21" s="23"/>
      <c r="N21" s="18"/>
      <c r="O21" s="16"/>
      <c r="P21" s="19"/>
    </row>
    <row r="22" spans="1:16">
      <c r="A22" s="85" t="s">
        <v>107</v>
      </c>
      <c r="B22" s="18"/>
      <c r="C22" s="16"/>
      <c r="D22" s="16"/>
      <c r="E22" s="16"/>
      <c r="F22" s="16"/>
      <c r="G22" s="16"/>
      <c r="H22" s="16"/>
      <c r="I22" s="16"/>
      <c r="J22" s="16"/>
      <c r="K22" s="16"/>
      <c r="L22" s="16"/>
      <c r="M22" s="23"/>
      <c r="N22" s="18"/>
      <c r="O22" s="16"/>
      <c r="P22" s="19"/>
    </row>
    <row r="23" spans="1:16" ht="20.399999999999999">
      <c r="A23" s="59" t="s">
        <v>37</v>
      </c>
      <c r="B23" s="62"/>
      <c r="C23" s="62"/>
      <c r="D23" s="62"/>
      <c r="E23" s="62"/>
      <c r="F23" s="62"/>
      <c r="G23" s="62"/>
      <c r="H23" s="62"/>
      <c r="I23" s="62"/>
      <c r="J23" s="62"/>
      <c r="K23" s="62"/>
      <c r="L23" s="62"/>
      <c r="M23" s="63"/>
      <c r="N23" s="62"/>
      <c r="O23" s="61"/>
      <c r="P23" s="86"/>
    </row>
    <row r="24" spans="1:16" ht="42">
      <c r="A24" s="64" t="s">
        <v>38</v>
      </c>
      <c r="B24" s="62"/>
      <c r="C24" s="62"/>
      <c r="D24" s="62"/>
      <c r="E24" s="62"/>
      <c r="F24" s="62"/>
      <c r="G24" s="62"/>
      <c r="H24" s="62"/>
      <c r="I24" s="62"/>
      <c r="J24" s="62"/>
      <c r="K24" s="62"/>
      <c r="L24" s="62"/>
      <c r="M24" s="63"/>
      <c r="N24" s="62"/>
      <c r="O24" s="61"/>
      <c r="P24" s="86"/>
    </row>
    <row r="25" spans="1:16">
      <c r="A25" s="14" t="s">
        <v>108</v>
      </c>
      <c r="B25" s="29"/>
      <c r="C25" s="29"/>
      <c r="D25" s="29"/>
      <c r="E25" s="29"/>
      <c r="F25" s="29"/>
      <c r="G25" s="29"/>
      <c r="H25" s="29"/>
      <c r="I25" s="29"/>
      <c r="J25" s="29"/>
      <c r="K25" s="29"/>
      <c r="L25" s="29"/>
      <c r="M25" s="23"/>
      <c r="N25" s="29"/>
      <c r="O25" s="25"/>
      <c r="P25" s="30"/>
    </row>
    <row r="26" spans="1:16">
      <c r="A26" s="14" t="s">
        <v>75</v>
      </c>
      <c r="B26" s="29"/>
      <c r="C26" s="29"/>
      <c r="D26" s="29"/>
      <c r="E26" s="29"/>
      <c r="F26" s="29"/>
      <c r="G26" s="29"/>
      <c r="H26" s="29"/>
      <c r="I26" s="29"/>
      <c r="J26" s="29"/>
      <c r="K26" s="29"/>
      <c r="L26" s="29"/>
      <c r="M26" s="23"/>
      <c r="N26" s="29"/>
      <c r="O26" s="25"/>
      <c r="P26" s="30"/>
    </row>
    <row r="27" spans="1:16">
      <c r="A27" s="14" t="s">
        <v>76</v>
      </c>
      <c r="B27" s="29"/>
      <c r="C27" s="29"/>
      <c r="D27" s="29"/>
      <c r="E27" s="29"/>
      <c r="F27" s="29"/>
      <c r="G27" s="29"/>
      <c r="H27" s="29"/>
      <c r="I27" s="29"/>
      <c r="J27" s="29"/>
      <c r="K27" s="29"/>
      <c r="L27" s="29"/>
      <c r="M27" s="23"/>
      <c r="N27" s="29"/>
      <c r="O27" s="25"/>
      <c r="P27" s="30"/>
    </row>
    <row r="28" spans="1:16">
      <c r="A28" s="14" t="s">
        <v>77</v>
      </c>
      <c r="B28" s="29"/>
      <c r="C28" s="29"/>
      <c r="D28" s="29"/>
      <c r="E28" s="29"/>
      <c r="F28" s="29"/>
      <c r="G28" s="29"/>
      <c r="H28" s="29"/>
      <c r="I28" s="29"/>
      <c r="J28" s="29"/>
      <c r="K28" s="29"/>
      <c r="L28" s="29"/>
      <c r="M28" s="23"/>
      <c r="N28" s="29"/>
      <c r="O28" s="25"/>
      <c r="P28" s="30"/>
    </row>
    <row r="29" spans="1:16">
      <c r="A29" s="14" t="s">
        <v>70</v>
      </c>
      <c r="B29" s="29"/>
      <c r="C29" s="29"/>
      <c r="D29" s="29"/>
      <c r="E29" s="29"/>
      <c r="F29" s="29"/>
      <c r="G29" s="29"/>
      <c r="H29" s="29"/>
      <c r="I29" s="29"/>
      <c r="J29" s="29"/>
      <c r="K29" s="29"/>
      <c r="L29" s="29"/>
      <c r="M29" s="23"/>
      <c r="N29" s="29"/>
      <c r="O29" s="25"/>
      <c r="P29" s="30"/>
    </row>
    <row r="30" spans="1:16">
      <c r="A30" s="14" t="s">
        <v>71</v>
      </c>
      <c r="B30" s="29"/>
      <c r="C30" s="29"/>
      <c r="D30" s="29"/>
      <c r="E30" s="29"/>
      <c r="F30" s="29"/>
      <c r="G30" s="29"/>
      <c r="H30" s="29"/>
      <c r="I30" s="29"/>
      <c r="J30" s="29"/>
      <c r="K30" s="29"/>
      <c r="L30" s="29"/>
      <c r="M30" s="23"/>
      <c r="N30" s="29"/>
      <c r="O30" s="25"/>
      <c r="P30" s="30"/>
    </row>
    <row r="31" spans="1:16">
      <c r="A31" s="87" t="s">
        <v>109</v>
      </c>
      <c r="B31" s="88"/>
      <c r="C31" s="71"/>
      <c r="D31" s="71"/>
      <c r="E31" s="71"/>
      <c r="F31" s="71"/>
      <c r="G31" s="71"/>
      <c r="H31" s="71"/>
      <c r="I31" s="71"/>
      <c r="J31" s="71"/>
      <c r="K31" s="71"/>
      <c r="L31" s="71"/>
      <c r="M31" s="89"/>
      <c r="N31" s="88"/>
      <c r="O31" s="71"/>
      <c r="P31" s="90"/>
    </row>
    <row r="32" spans="1:16">
      <c r="A32" s="41"/>
      <c r="B32" s="18"/>
      <c r="C32" s="16"/>
      <c r="D32" s="16"/>
      <c r="E32" s="16"/>
      <c r="F32" s="16"/>
      <c r="G32" s="16"/>
      <c r="H32" s="16"/>
      <c r="I32" s="16"/>
      <c r="J32" s="16"/>
      <c r="K32" s="16"/>
      <c r="L32" s="16"/>
      <c r="M32" s="23"/>
      <c r="N32" s="18"/>
      <c r="O32" s="16"/>
      <c r="P32" s="19"/>
    </row>
    <row r="33" spans="1:16">
      <c r="A33" s="10" t="s">
        <v>110</v>
      </c>
      <c r="B33" s="18"/>
      <c r="C33" s="16"/>
      <c r="D33" s="16"/>
      <c r="E33" s="16"/>
      <c r="F33" s="16"/>
      <c r="G33" s="16"/>
      <c r="H33" s="16"/>
      <c r="I33" s="16"/>
      <c r="J33" s="16"/>
      <c r="K33" s="16"/>
      <c r="L33" s="16"/>
      <c r="M33" s="23"/>
      <c r="N33" s="91"/>
      <c r="O33" s="16"/>
      <c r="P33" s="19"/>
    </row>
    <row r="34" spans="1:16">
      <c r="A34" s="14" t="s">
        <v>25</v>
      </c>
      <c r="B34" s="29"/>
      <c r="C34" s="29"/>
      <c r="D34" s="29"/>
      <c r="E34" s="29"/>
      <c r="F34" s="29"/>
      <c r="G34" s="29"/>
      <c r="H34" s="29"/>
      <c r="I34" s="29"/>
      <c r="J34" s="29"/>
      <c r="K34" s="29"/>
      <c r="L34" s="29"/>
      <c r="M34" s="23"/>
      <c r="N34" s="29"/>
      <c r="O34" s="25"/>
      <c r="P34" s="30"/>
    </row>
    <row r="35" spans="1:16">
      <c r="A35" s="14" t="s">
        <v>26</v>
      </c>
      <c r="B35" s="29"/>
      <c r="C35" s="29"/>
      <c r="D35" s="29"/>
      <c r="E35" s="29"/>
      <c r="F35" s="29"/>
      <c r="G35" s="29"/>
      <c r="H35" s="29"/>
      <c r="I35" s="29"/>
      <c r="J35" s="29"/>
      <c r="K35" s="29"/>
      <c r="L35" s="29"/>
      <c r="M35" s="23"/>
      <c r="N35" s="29"/>
      <c r="O35" s="25"/>
      <c r="P35" s="30"/>
    </row>
    <row r="36" spans="1:16">
      <c r="A36" s="14" t="s">
        <v>29</v>
      </c>
      <c r="B36" s="29"/>
      <c r="C36" s="29"/>
      <c r="D36" s="29"/>
      <c r="E36" s="29"/>
      <c r="F36" s="29"/>
      <c r="G36" s="29"/>
      <c r="H36" s="29"/>
      <c r="I36" s="29"/>
      <c r="J36" s="29"/>
      <c r="K36" s="29"/>
      <c r="L36" s="29"/>
      <c r="M36" s="23"/>
      <c r="N36" s="29"/>
      <c r="O36" s="25"/>
      <c r="P36" s="30"/>
    </row>
    <row r="37" spans="1:16">
      <c r="A37" s="14" t="s">
        <v>111</v>
      </c>
      <c r="B37" s="29"/>
      <c r="C37" s="29"/>
      <c r="D37" s="29"/>
      <c r="E37" s="29"/>
      <c r="F37" s="29"/>
      <c r="G37" s="29"/>
      <c r="H37" s="29"/>
      <c r="I37" s="29"/>
      <c r="J37" s="29"/>
      <c r="K37" s="29"/>
      <c r="L37" s="29"/>
      <c r="M37" s="23"/>
      <c r="N37" s="29"/>
      <c r="O37" s="25"/>
      <c r="P37" s="30"/>
    </row>
    <row r="38" spans="1:16">
      <c r="A38" s="14" t="s">
        <v>112</v>
      </c>
      <c r="B38" s="29"/>
      <c r="C38" s="29"/>
      <c r="D38" s="29"/>
      <c r="E38" s="29"/>
      <c r="F38" s="29"/>
      <c r="G38" s="29"/>
      <c r="H38" s="29"/>
      <c r="I38" s="29"/>
      <c r="J38" s="29"/>
      <c r="K38" s="29"/>
      <c r="L38" s="29"/>
      <c r="M38" s="23"/>
      <c r="N38" s="29"/>
      <c r="O38" s="25"/>
      <c r="P38" s="30"/>
    </row>
    <row r="39" spans="1:16">
      <c r="A39" s="14" t="s">
        <v>31</v>
      </c>
      <c r="B39" s="29"/>
      <c r="C39" s="29"/>
      <c r="D39" s="29"/>
      <c r="E39" s="29"/>
      <c r="F39" s="29"/>
      <c r="G39" s="29"/>
      <c r="H39" s="29"/>
      <c r="I39" s="29"/>
      <c r="J39" s="29"/>
      <c r="K39" s="29"/>
      <c r="L39" s="29"/>
      <c r="M39" s="23"/>
      <c r="N39" s="29"/>
      <c r="O39" s="25"/>
      <c r="P39" s="30"/>
    </row>
    <row r="40" spans="1:16">
      <c r="A40" s="14" t="s">
        <v>32</v>
      </c>
      <c r="B40" s="29"/>
      <c r="C40" s="29"/>
      <c r="D40" s="29"/>
      <c r="E40" s="29"/>
      <c r="F40" s="29"/>
      <c r="G40" s="29"/>
      <c r="H40" s="29"/>
      <c r="I40" s="29"/>
      <c r="J40" s="29"/>
      <c r="K40" s="29"/>
      <c r="L40" s="29"/>
      <c r="M40" s="23"/>
      <c r="N40" s="29"/>
      <c r="O40" s="25"/>
      <c r="P40" s="30"/>
    </row>
    <row r="41" spans="1:16">
      <c r="A41" s="14" t="s">
        <v>113</v>
      </c>
      <c r="B41" s="29"/>
      <c r="C41" s="29"/>
      <c r="D41" s="29"/>
      <c r="E41" s="29"/>
      <c r="F41" s="29"/>
      <c r="G41" s="29"/>
      <c r="H41" s="29"/>
      <c r="I41" s="29"/>
      <c r="J41" s="29"/>
      <c r="K41" s="29"/>
      <c r="L41" s="29"/>
      <c r="M41" s="23"/>
      <c r="N41" s="29"/>
      <c r="O41" s="25"/>
      <c r="P41" s="30"/>
    </row>
    <row r="42" spans="1:16">
      <c r="A42" s="14" t="s">
        <v>114</v>
      </c>
      <c r="B42" s="29"/>
      <c r="C42" s="29"/>
      <c r="D42" s="29"/>
      <c r="E42" s="29"/>
      <c r="F42" s="29"/>
      <c r="G42" s="29"/>
      <c r="H42" s="29"/>
      <c r="I42" s="29"/>
      <c r="J42" s="29"/>
      <c r="K42" s="29"/>
      <c r="L42" s="29"/>
      <c r="M42" s="23"/>
      <c r="N42" s="29"/>
      <c r="O42" s="25"/>
      <c r="P42" s="30"/>
    </row>
    <row r="43" spans="1:16">
      <c r="A43" s="14" t="s">
        <v>4</v>
      </c>
      <c r="B43" s="29"/>
      <c r="C43" s="29"/>
      <c r="D43" s="29"/>
      <c r="E43" s="29"/>
      <c r="F43" s="29"/>
      <c r="G43" s="29"/>
      <c r="H43" s="29"/>
      <c r="I43" s="29"/>
      <c r="J43" s="29"/>
      <c r="K43" s="29"/>
      <c r="L43" s="29"/>
      <c r="M43" s="23"/>
      <c r="N43" s="29"/>
      <c r="O43" s="25"/>
      <c r="P43" s="30"/>
    </row>
    <row r="44" spans="1:16">
      <c r="A44" s="54" t="s">
        <v>110</v>
      </c>
      <c r="B44" s="51"/>
      <c r="C44" s="48"/>
      <c r="D44" s="48"/>
      <c r="E44" s="48"/>
      <c r="F44" s="48"/>
      <c r="G44" s="48"/>
      <c r="H44" s="48"/>
      <c r="I44" s="48"/>
      <c r="J44" s="48"/>
      <c r="K44" s="48"/>
      <c r="L44" s="48"/>
      <c r="M44" s="49"/>
      <c r="N44" s="51"/>
      <c r="O44" s="48"/>
      <c r="P44" s="84"/>
    </row>
    <row r="45" spans="1:16">
      <c r="A45" s="41"/>
      <c r="B45" s="18"/>
      <c r="C45" s="16"/>
      <c r="D45" s="16"/>
      <c r="E45" s="16"/>
      <c r="F45" s="16"/>
      <c r="G45" s="16"/>
      <c r="H45" s="16"/>
      <c r="I45" s="16"/>
      <c r="J45" s="16"/>
      <c r="K45" s="16"/>
      <c r="L45" s="16"/>
      <c r="M45" s="23"/>
      <c r="N45" s="18"/>
      <c r="O45" s="16"/>
      <c r="P45" s="19"/>
    </row>
    <row r="46" spans="1:16">
      <c r="A46" s="54" t="s">
        <v>115</v>
      </c>
      <c r="B46" s="18"/>
      <c r="C46" s="16"/>
      <c r="D46" s="16"/>
      <c r="E46" s="16"/>
      <c r="F46" s="16"/>
      <c r="G46" s="16"/>
      <c r="H46" s="16"/>
      <c r="I46" s="16"/>
      <c r="J46" s="16"/>
      <c r="K46" s="16"/>
      <c r="L46" s="16"/>
      <c r="M46" s="23"/>
      <c r="N46" s="18"/>
      <c r="O46" s="16"/>
      <c r="P46" s="19"/>
    </row>
    <row r="47" spans="1:16">
      <c r="A47" s="14" t="s">
        <v>72</v>
      </c>
      <c r="B47" s="29"/>
      <c r="C47" s="29"/>
      <c r="D47" s="29"/>
      <c r="E47" s="29"/>
      <c r="F47" s="29"/>
      <c r="G47" s="29"/>
      <c r="H47" s="29"/>
      <c r="I47" s="29"/>
      <c r="J47" s="29"/>
      <c r="K47" s="29"/>
      <c r="L47" s="29"/>
      <c r="M47" s="23"/>
      <c r="N47" s="29"/>
      <c r="O47" s="25"/>
      <c r="P47" s="30"/>
    </row>
    <row r="48" spans="1:16">
      <c r="A48" s="14" t="s">
        <v>78</v>
      </c>
      <c r="B48" s="29"/>
      <c r="C48" s="29"/>
      <c r="D48" s="29"/>
      <c r="E48" s="29"/>
      <c r="F48" s="29"/>
      <c r="G48" s="29"/>
      <c r="H48" s="29"/>
      <c r="I48" s="29"/>
      <c r="J48" s="29"/>
      <c r="K48" s="29"/>
      <c r="L48" s="29"/>
      <c r="M48" s="23"/>
      <c r="N48" s="29"/>
      <c r="O48" s="25"/>
      <c r="P48" s="30"/>
    </row>
    <row r="49" spans="1:16">
      <c r="A49" s="14" t="s">
        <v>121</v>
      </c>
      <c r="B49" s="29"/>
      <c r="C49" s="29"/>
      <c r="D49" s="29"/>
      <c r="E49" s="29"/>
      <c r="F49" s="29"/>
      <c r="G49" s="29"/>
      <c r="H49" s="29"/>
      <c r="I49" s="29"/>
      <c r="J49" s="29"/>
      <c r="K49" s="29"/>
      <c r="L49" s="29"/>
      <c r="M49" s="23"/>
      <c r="N49" s="29"/>
      <c r="O49" s="25"/>
      <c r="P49" s="30"/>
    </row>
    <row r="50" spans="1:16">
      <c r="A50" s="87" t="s">
        <v>116</v>
      </c>
      <c r="B50" s="88"/>
      <c r="C50" s="71"/>
      <c r="D50" s="71"/>
      <c r="E50" s="71"/>
      <c r="F50" s="71"/>
      <c r="G50" s="71"/>
      <c r="H50" s="71"/>
      <c r="I50" s="71"/>
      <c r="J50" s="71"/>
      <c r="K50" s="71"/>
      <c r="L50" s="71"/>
      <c r="M50" s="89"/>
      <c r="N50" s="88"/>
      <c r="O50" s="71"/>
      <c r="P50" s="90"/>
    </row>
    <row r="51" spans="1:16">
      <c r="A51" s="41"/>
      <c r="B51" s="18"/>
      <c r="C51" s="16"/>
      <c r="D51" s="16"/>
      <c r="E51" s="16"/>
      <c r="F51" s="16"/>
      <c r="G51" s="16"/>
      <c r="H51" s="16"/>
      <c r="I51" s="16"/>
      <c r="J51" s="16"/>
      <c r="K51" s="16"/>
      <c r="L51" s="16"/>
      <c r="M51" s="23"/>
      <c r="N51" s="18"/>
      <c r="O51" s="16"/>
      <c r="P51" s="19"/>
    </row>
    <row r="52" spans="1:16">
      <c r="A52" s="92" t="s">
        <v>117</v>
      </c>
      <c r="B52" s="93"/>
      <c r="C52" s="94"/>
      <c r="D52" s="94"/>
      <c r="E52" s="94"/>
      <c r="F52" s="94"/>
      <c r="G52" s="94"/>
      <c r="H52" s="94"/>
      <c r="I52" s="94"/>
      <c r="J52" s="94"/>
      <c r="K52" s="94"/>
      <c r="L52" s="94"/>
      <c r="M52" s="95"/>
      <c r="N52" s="93"/>
      <c r="O52" s="94"/>
      <c r="P52" s="96"/>
    </row>
    <row r="53" spans="1:16">
      <c r="A53" s="41" t="s">
        <v>118</v>
      </c>
      <c r="B53" s="97"/>
      <c r="C53" s="98"/>
      <c r="D53" s="98"/>
      <c r="E53" s="98"/>
      <c r="F53" s="98"/>
      <c r="G53" s="98"/>
      <c r="H53" s="98"/>
      <c r="I53" s="98"/>
      <c r="J53" s="98"/>
      <c r="K53" s="98"/>
      <c r="L53" s="98"/>
      <c r="M53" s="99"/>
      <c r="N53" s="100"/>
      <c r="O53" s="98"/>
      <c r="P53" s="101"/>
    </row>
    <row r="54" spans="1:16">
      <c r="A54" s="102" t="s">
        <v>119</v>
      </c>
      <c r="B54" s="103"/>
      <c r="C54" s="104"/>
      <c r="D54" s="104"/>
      <c r="E54" s="104"/>
      <c r="F54" s="104"/>
      <c r="G54" s="104"/>
      <c r="H54" s="104"/>
      <c r="I54" s="104"/>
      <c r="J54" s="104"/>
      <c r="K54" s="104"/>
      <c r="L54" s="104"/>
      <c r="M54" s="105"/>
      <c r="N54" s="106"/>
      <c r="O54" s="104"/>
      <c r="P54" s="107"/>
    </row>
    <row r="55" spans="1:16">
      <c r="A55" s="108" t="str">
        <f>head27a</f>
        <v>References</v>
      </c>
      <c r="B55" s="6"/>
      <c r="C55" s="6"/>
      <c r="D55" s="6"/>
      <c r="E55" s="6"/>
      <c r="F55" s="6"/>
      <c r="G55" s="6"/>
      <c r="H55" s="6"/>
      <c r="I55" s="6"/>
      <c r="J55" s="6"/>
      <c r="K55" s="6"/>
      <c r="L55" s="6"/>
      <c r="M55" s="6"/>
      <c r="N55" s="6"/>
      <c r="O55" s="6"/>
      <c r="P55" s="6"/>
    </row>
    <row r="56" spans="1:16" ht="14.4" customHeight="1">
      <c r="A56" s="1089" t="s">
        <v>120</v>
      </c>
      <c r="B56" s="1089"/>
      <c r="C56" s="1089"/>
      <c r="D56" s="1089"/>
      <c r="E56" s="1089"/>
      <c r="F56" s="1089"/>
      <c r="G56" s="1089"/>
      <c r="H56" s="1089"/>
      <c r="I56" s="1089"/>
      <c r="J56" s="1089"/>
      <c r="K56" s="1089"/>
      <c r="L56" s="1089"/>
      <c r="M56" s="1089"/>
      <c r="N56" s="1089"/>
      <c r="O56" s="1089"/>
      <c r="P56" s="1089"/>
    </row>
  </sheetData>
  <mergeCells count="3">
    <mergeCell ref="B2:M2"/>
    <mergeCell ref="N2:P2"/>
    <mergeCell ref="A56:P5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24DF-78B3-46AF-8257-90140B97F6B6}">
  <dimension ref="A1:L44"/>
  <sheetViews>
    <sheetView showGridLines="0" workbookViewId="0">
      <selection sqref="A1:J22"/>
    </sheetView>
  </sheetViews>
  <sheetFormatPr defaultRowHeight="14.4"/>
  <cols>
    <col min="1" max="1" width="30.6640625" customWidth="1"/>
    <col min="2" max="2" width="3" customWidth="1"/>
    <col min="3" max="8" width="9.33203125" customWidth="1"/>
    <col min="9" max="9" width="9.109375" customWidth="1"/>
    <col min="10" max="12" width="9.33203125" customWidth="1"/>
  </cols>
  <sheetData>
    <row r="1" spans="1:12">
      <c r="A1" s="1" t="str">
        <f>muni&amp;" - "&amp;Approve7</f>
        <v>Choose name from list - Table A7 Budgeted Cash Flows</v>
      </c>
      <c r="B1" s="1"/>
      <c r="C1" s="1"/>
      <c r="D1" s="1"/>
      <c r="E1" s="1"/>
      <c r="F1" s="743" t="s">
        <v>478</v>
      </c>
      <c r="G1" s="1"/>
      <c r="H1" s="1"/>
      <c r="I1" s="1"/>
      <c r="J1" s="1"/>
      <c r="K1" s="1"/>
      <c r="L1" s="1"/>
    </row>
    <row r="2" spans="1:12">
      <c r="A2" s="3" t="str">
        <f>desc</f>
        <v>Description</v>
      </c>
      <c r="B2" s="4" t="str">
        <f>head27</f>
        <v>Ref</v>
      </c>
      <c r="C2" s="5" t="str">
        <f>head1b</f>
        <v>2017/18</v>
      </c>
      <c r="D2" s="5" t="str">
        <f>head1A</f>
        <v>2018/19</v>
      </c>
      <c r="E2" s="74" t="str">
        <f>Head1</f>
        <v>2019/20</v>
      </c>
      <c r="F2" s="1084" t="str">
        <f>Head2</f>
        <v>Current Year 2020/21</v>
      </c>
      <c r="G2" s="1085"/>
      <c r="H2" s="1085"/>
      <c r="I2" s="1085"/>
      <c r="J2" s="1086" t="str">
        <f>Head3</f>
        <v>2021/22 Medium Term Revenue &amp; Expenditure Framework</v>
      </c>
      <c r="K2" s="1087"/>
      <c r="L2" s="1088"/>
    </row>
    <row r="3" spans="1:12" ht="20.399999999999999">
      <c r="A3" s="7" t="s">
        <v>5</v>
      </c>
      <c r="B3" s="109"/>
      <c r="C3" s="8" t="str">
        <f>Head5</f>
        <v>Audited Outcome</v>
      </c>
      <c r="D3" s="8" t="str">
        <f>Head5</f>
        <v>Audited Outcome</v>
      </c>
      <c r="E3" s="9" t="str">
        <f>Head5</f>
        <v>Audited Outcome</v>
      </c>
      <c r="F3" s="76" t="str">
        <f>Head6</f>
        <v>Original Budget</v>
      </c>
      <c r="G3" s="77" t="str">
        <f>Head7</f>
        <v>Adjusted Budget</v>
      </c>
      <c r="H3" s="77" t="str">
        <f>Head8</f>
        <v>Full Year Forecast</v>
      </c>
      <c r="I3" s="110" t="str">
        <f>Head5b</f>
        <v>Pre-audit outcome</v>
      </c>
      <c r="J3" s="76" t="str">
        <f>Head9</f>
        <v>Budget Year 2021/22</v>
      </c>
      <c r="K3" s="77" t="str">
        <f>Head10</f>
        <v>Budget Year +1 2022/23</v>
      </c>
      <c r="L3" s="78" t="str">
        <f>Head11</f>
        <v>Budget Year +2 2023/24</v>
      </c>
    </row>
    <row r="4" spans="1:12">
      <c r="A4" s="54" t="s">
        <v>58</v>
      </c>
      <c r="B4" s="11"/>
      <c r="C4" s="80"/>
      <c r="D4" s="80"/>
      <c r="E4" s="83"/>
      <c r="F4" s="79"/>
      <c r="G4" s="80"/>
      <c r="H4" s="80"/>
      <c r="I4" s="81"/>
      <c r="J4" s="79"/>
      <c r="K4" s="80"/>
      <c r="L4" s="83"/>
    </row>
    <row r="5" spans="1:12">
      <c r="A5" s="54" t="s">
        <v>59</v>
      </c>
      <c r="B5" s="15"/>
      <c r="C5" s="16"/>
      <c r="D5" s="16"/>
      <c r="E5" s="19"/>
      <c r="F5" s="18"/>
      <c r="G5" s="16"/>
      <c r="H5" s="16"/>
      <c r="I5" s="23"/>
      <c r="J5" s="18"/>
      <c r="K5" s="16"/>
      <c r="L5" s="19"/>
    </row>
    <row r="6" spans="1:12">
      <c r="A6" s="14" t="s">
        <v>7</v>
      </c>
      <c r="B6" s="15"/>
      <c r="C6" s="25"/>
      <c r="D6" s="25"/>
      <c r="E6" s="30"/>
      <c r="F6" s="29"/>
      <c r="G6" s="25"/>
      <c r="H6" s="25"/>
      <c r="I6" s="26"/>
      <c r="J6" s="18"/>
      <c r="K6" s="16"/>
      <c r="L6" s="19"/>
    </row>
    <row r="7" spans="1:12">
      <c r="A7" s="14" t="s">
        <v>60</v>
      </c>
      <c r="B7" s="15"/>
      <c r="C7" s="25"/>
      <c r="D7" s="25"/>
      <c r="E7" s="30"/>
      <c r="F7" s="29"/>
      <c r="G7" s="25"/>
      <c r="H7" s="25"/>
      <c r="I7" s="26"/>
      <c r="J7" s="18"/>
      <c r="K7" s="16"/>
      <c r="L7" s="19"/>
    </row>
    <row r="8" spans="1:12">
      <c r="A8" s="14" t="s">
        <v>21</v>
      </c>
      <c r="B8" s="15"/>
      <c r="C8" s="25"/>
      <c r="D8" s="25"/>
      <c r="E8" s="30"/>
      <c r="F8" s="29"/>
      <c r="G8" s="25"/>
      <c r="H8" s="25"/>
      <c r="I8" s="26"/>
      <c r="J8" s="18"/>
      <c r="K8" s="16"/>
      <c r="L8" s="19"/>
    </row>
    <row r="9" spans="1:12">
      <c r="A9" s="14" t="s">
        <v>61</v>
      </c>
      <c r="B9" s="15">
        <v>1</v>
      </c>
      <c r="C9" s="25"/>
      <c r="D9" s="25"/>
      <c r="E9" s="30"/>
      <c r="F9" s="29"/>
      <c r="G9" s="25"/>
      <c r="H9" s="25"/>
      <c r="I9" s="26"/>
      <c r="J9" s="18"/>
      <c r="K9" s="16"/>
      <c r="L9" s="19"/>
    </row>
    <row r="10" spans="1:12">
      <c r="A10" s="14" t="s">
        <v>62</v>
      </c>
      <c r="B10" s="15">
        <v>1</v>
      </c>
      <c r="C10" s="25"/>
      <c r="D10" s="25"/>
      <c r="E10" s="30"/>
      <c r="F10" s="29"/>
      <c r="G10" s="25"/>
      <c r="H10" s="25"/>
      <c r="I10" s="26"/>
      <c r="J10" s="18"/>
      <c r="K10" s="16"/>
      <c r="L10" s="19"/>
    </row>
    <row r="11" spans="1:12">
      <c r="A11" s="14" t="s">
        <v>63</v>
      </c>
      <c r="B11" s="15"/>
      <c r="C11" s="25"/>
      <c r="D11" s="25"/>
      <c r="E11" s="30"/>
      <c r="F11" s="29"/>
      <c r="G11" s="25"/>
      <c r="H11" s="25"/>
      <c r="I11" s="26"/>
      <c r="J11" s="18"/>
      <c r="K11" s="16"/>
      <c r="L11" s="19"/>
    </row>
    <row r="12" spans="1:12">
      <c r="A12" s="14" t="s">
        <v>64</v>
      </c>
      <c r="B12" s="15"/>
      <c r="C12" s="25"/>
      <c r="D12" s="25"/>
      <c r="E12" s="30"/>
      <c r="F12" s="29"/>
      <c r="G12" s="25"/>
      <c r="H12" s="25"/>
      <c r="I12" s="26"/>
      <c r="J12" s="18"/>
      <c r="K12" s="16"/>
      <c r="L12" s="19"/>
    </row>
    <row r="13" spans="1:12">
      <c r="A13" s="54" t="s">
        <v>65</v>
      </c>
      <c r="B13" s="15"/>
      <c r="C13" s="16"/>
      <c r="D13" s="16"/>
      <c r="E13" s="19"/>
      <c r="F13" s="18"/>
      <c r="G13" s="16"/>
      <c r="H13" s="16"/>
      <c r="I13" s="23"/>
      <c r="J13" s="18"/>
      <c r="K13" s="16"/>
      <c r="L13" s="19"/>
    </row>
    <row r="14" spans="1:12">
      <c r="A14" s="14" t="s">
        <v>66</v>
      </c>
      <c r="B14" s="15"/>
      <c r="C14" s="25"/>
      <c r="D14" s="25"/>
      <c r="E14" s="30"/>
      <c r="F14" s="29"/>
      <c r="G14" s="25"/>
      <c r="H14" s="25"/>
      <c r="I14" s="26"/>
      <c r="J14" s="18"/>
      <c r="K14" s="16"/>
      <c r="L14" s="19"/>
    </row>
    <row r="15" spans="1:12">
      <c r="A15" s="14" t="s">
        <v>29</v>
      </c>
      <c r="B15" s="15"/>
      <c r="C15" s="25"/>
      <c r="D15" s="25"/>
      <c r="E15" s="30"/>
      <c r="F15" s="29"/>
      <c r="G15" s="25"/>
      <c r="H15" s="25"/>
      <c r="I15" s="26"/>
      <c r="J15" s="18"/>
      <c r="K15" s="16"/>
      <c r="L15" s="19"/>
    </row>
    <row r="16" spans="1:12">
      <c r="A16" s="14" t="s">
        <v>3</v>
      </c>
      <c r="B16" s="15">
        <v>1</v>
      </c>
      <c r="C16" s="111"/>
      <c r="D16" s="111"/>
      <c r="E16" s="112"/>
      <c r="F16" s="113"/>
      <c r="G16" s="111"/>
      <c r="H16" s="111"/>
      <c r="I16" s="114"/>
      <c r="J16" s="115"/>
      <c r="K16" s="116"/>
      <c r="L16" s="117"/>
    </row>
    <row r="17" spans="1:12">
      <c r="A17" s="87" t="s">
        <v>67</v>
      </c>
      <c r="B17" s="118"/>
      <c r="C17" s="71"/>
      <c r="D17" s="71"/>
      <c r="E17" s="89"/>
      <c r="F17" s="119"/>
      <c r="G17" s="71"/>
      <c r="H17" s="71"/>
      <c r="I17" s="120"/>
      <c r="J17" s="88"/>
      <c r="K17" s="71"/>
      <c r="L17" s="90"/>
    </row>
    <row r="18" spans="1:12">
      <c r="A18" s="41"/>
      <c r="B18" s="15"/>
      <c r="C18" s="16"/>
      <c r="D18" s="16"/>
      <c r="E18" s="23"/>
      <c r="F18" s="24"/>
      <c r="G18" s="16"/>
      <c r="H18" s="16"/>
      <c r="I18" s="20"/>
      <c r="J18" s="18"/>
      <c r="K18" s="16"/>
      <c r="L18" s="19"/>
    </row>
    <row r="19" spans="1:12">
      <c r="A19" s="54" t="s">
        <v>68</v>
      </c>
      <c r="B19" s="15"/>
      <c r="C19" s="16"/>
      <c r="D19" s="16"/>
      <c r="E19" s="23"/>
      <c r="F19" s="24"/>
      <c r="G19" s="16"/>
      <c r="H19" s="16"/>
      <c r="I19" s="20"/>
      <c r="J19" s="18"/>
      <c r="K19" s="16"/>
      <c r="L19" s="19"/>
    </row>
    <row r="20" spans="1:12">
      <c r="A20" s="54" t="s">
        <v>59</v>
      </c>
      <c r="B20" s="15"/>
      <c r="C20" s="55"/>
      <c r="D20" s="55"/>
      <c r="E20" s="56"/>
      <c r="F20" s="57"/>
      <c r="G20" s="55"/>
      <c r="H20" s="55"/>
      <c r="I20" s="121"/>
      <c r="J20" s="58"/>
      <c r="K20" s="55"/>
      <c r="L20" s="122"/>
    </row>
    <row r="21" spans="1:12">
      <c r="A21" s="14" t="s">
        <v>69</v>
      </c>
      <c r="B21" s="15"/>
      <c r="C21" s="25"/>
      <c r="D21" s="25"/>
      <c r="E21" s="26"/>
      <c r="F21" s="43"/>
      <c r="G21" s="33"/>
      <c r="H21" s="33"/>
      <c r="I21" s="28"/>
      <c r="J21" s="123"/>
      <c r="K21" s="124"/>
      <c r="L21" s="125"/>
    </row>
    <row r="22" spans="1:12">
      <c r="A22" s="14"/>
      <c r="B22" s="15"/>
      <c r="C22" s="25"/>
      <c r="D22" s="25"/>
      <c r="E22" s="26"/>
      <c r="F22" s="43"/>
      <c r="G22" s="33"/>
      <c r="H22" s="33"/>
      <c r="I22" s="28"/>
      <c r="J22" s="123"/>
      <c r="K22" s="124"/>
      <c r="L22" s="125"/>
    </row>
    <row r="23" spans="1:12">
      <c r="A23" s="14" t="s">
        <v>70</v>
      </c>
      <c r="B23" s="15"/>
      <c r="C23" s="33"/>
      <c r="D23" s="25"/>
      <c r="E23" s="26"/>
      <c r="F23" s="43"/>
      <c r="G23" s="33"/>
      <c r="H23" s="33"/>
      <c r="I23" s="28"/>
      <c r="J23" s="123"/>
      <c r="K23" s="124"/>
      <c r="L23" s="125"/>
    </row>
    <row r="24" spans="1:12">
      <c r="A24" s="14" t="s">
        <v>71</v>
      </c>
      <c r="B24" s="15"/>
      <c r="C24" s="25"/>
      <c r="D24" s="25"/>
      <c r="E24" s="26"/>
      <c r="F24" s="27"/>
      <c r="G24" s="25"/>
      <c r="H24" s="25"/>
      <c r="I24" s="28"/>
      <c r="J24" s="18"/>
      <c r="K24" s="16"/>
      <c r="L24" s="19"/>
    </row>
    <row r="25" spans="1:12">
      <c r="A25" s="54" t="s">
        <v>65</v>
      </c>
      <c r="B25" s="15"/>
      <c r="C25" s="126"/>
      <c r="D25" s="126"/>
      <c r="E25" s="127"/>
      <c r="F25" s="128"/>
      <c r="G25" s="126"/>
      <c r="H25" s="126"/>
      <c r="I25" s="129"/>
      <c r="J25" s="18"/>
      <c r="K25" s="16"/>
      <c r="L25" s="19"/>
    </row>
    <row r="26" spans="1:12">
      <c r="A26" s="14" t="s">
        <v>72</v>
      </c>
      <c r="B26" s="15"/>
      <c r="C26" s="25"/>
      <c r="D26" s="25"/>
      <c r="E26" s="26"/>
      <c r="F26" s="27"/>
      <c r="G26" s="25"/>
      <c r="H26" s="25"/>
      <c r="I26" s="28"/>
      <c r="J26" s="18"/>
      <c r="K26" s="16"/>
      <c r="L26" s="19"/>
    </row>
    <row r="27" spans="1:12">
      <c r="A27" s="87" t="s">
        <v>73</v>
      </c>
      <c r="B27" s="118"/>
      <c r="C27" s="71"/>
      <c r="D27" s="71"/>
      <c r="E27" s="89"/>
      <c r="F27" s="119"/>
      <c r="G27" s="71"/>
      <c r="H27" s="71"/>
      <c r="I27" s="120"/>
      <c r="J27" s="88"/>
      <c r="K27" s="71"/>
      <c r="L27" s="90"/>
    </row>
    <row r="28" spans="1:12">
      <c r="A28" s="41"/>
      <c r="B28" s="15"/>
      <c r="C28" s="16"/>
      <c r="D28" s="16"/>
      <c r="E28" s="23"/>
      <c r="F28" s="24"/>
      <c r="G28" s="16"/>
      <c r="H28" s="16"/>
      <c r="I28" s="20"/>
      <c r="J28" s="18"/>
      <c r="K28" s="16"/>
      <c r="L28" s="19"/>
    </row>
    <row r="29" spans="1:12">
      <c r="A29" s="54" t="s">
        <v>74</v>
      </c>
      <c r="B29" s="15"/>
      <c r="C29" s="16"/>
      <c r="D29" s="16"/>
      <c r="E29" s="23"/>
      <c r="F29" s="24"/>
      <c r="G29" s="16"/>
      <c r="H29" s="16"/>
      <c r="I29" s="20"/>
      <c r="J29" s="18"/>
      <c r="K29" s="16"/>
      <c r="L29" s="19"/>
    </row>
    <row r="30" spans="1:12">
      <c r="A30" s="54" t="s">
        <v>59</v>
      </c>
      <c r="B30" s="15"/>
      <c r="C30" s="16"/>
      <c r="D30" s="16"/>
      <c r="E30" s="23"/>
      <c r="F30" s="24"/>
      <c r="G30" s="16"/>
      <c r="H30" s="16"/>
      <c r="I30" s="20"/>
      <c r="J30" s="18"/>
      <c r="K30" s="16"/>
      <c r="L30" s="19"/>
    </row>
    <row r="31" spans="1:12">
      <c r="A31" s="14" t="s">
        <v>75</v>
      </c>
      <c r="B31" s="15"/>
      <c r="C31" s="25"/>
      <c r="D31" s="25"/>
      <c r="E31" s="26"/>
      <c r="F31" s="27"/>
      <c r="G31" s="25"/>
      <c r="H31" s="25"/>
      <c r="I31" s="28"/>
      <c r="J31" s="18"/>
      <c r="K31" s="16"/>
      <c r="L31" s="19"/>
    </row>
    <row r="32" spans="1:12">
      <c r="A32" s="14" t="s">
        <v>76</v>
      </c>
      <c r="B32" s="15"/>
      <c r="C32" s="25"/>
      <c r="D32" s="25"/>
      <c r="E32" s="26"/>
      <c r="F32" s="27"/>
      <c r="G32" s="25"/>
      <c r="H32" s="25"/>
      <c r="I32" s="28"/>
      <c r="J32" s="18"/>
      <c r="K32" s="16"/>
      <c r="L32" s="19"/>
    </row>
    <row r="33" spans="1:12">
      <c r="A33" s="14" t="s">
        <v>77</v>
      </c>
      <c r="B33" s="15"/>
      <c r="C33" s="25"/>
      <c r="D33" s="25"/>
      <c r="E33" s="26"/>
      <c r="F33" s="27"/>
      <c r="G33" s="33"/>
      <c r="H33" s="33"/>
      <c r="I33" s="44"/>
      <c r="J33" s="18"/>
      <c r="K33" s="16"/>
      <c r="L33" s="19"/>
    </row>
    <row r="34" spans="1:12">
      <c r="A34" s="54" t="s">
        <v>65</v>
      </c>
      <c r="B34" s="15"/>
      <c r="C34" s="126"/>
      <c r="D34" s="126"/>
      <c r="E34" s="127"/>
      <c r="F34" s="128"/>
      <c r="G34" s="126"/>
      <c r="H34" s="126"/>
      <c r="I34" s="129"/>
      <c r="J34" s="18"/>
      <c r="K34" s="16"/>
      <c r="L34" s="19"/>
    </row>
    <row r="35" spans="1:12">
      <c r="A35" s="14" t="s">
        <v>78</v>
      </c>
      <c r="B35" s="15"/>
      <c r="C35" s="25"/>
      <c r="D35" s="25"/>
      <c r="E35" s="26"/>
      <c r="F35" s="27"/>
      <c r="G35" s="25"/>
      <c r="H35" s="33"/>
      <c r="I35" s="28"/>
      <c r="J35" s="18"/>
      <c r="K35" s="16"/>
      <c r="L35" s="19"/>
    </row>
    <row r="36" spans="1:12">
      <c r="A36" s="87" t="s">
        <v>79</v>
      </c>
      <c r="B36" s="118"/>
      <c r="C36" s="71"/>
      <c r="D36" s="71"/>
      <c r="E36" s="89"/>
      <c r="F36" s="119"/>
      <c r="G36" s="71"/>
      <c r="H36" s="71"/>
      <c r="I36" s="120"/>
      <c r="J36" s="88"/>
      <c r="K36" s="71"/>
      <c r="L36" s="90"/>
    </row>
    <row r="37" spans="1:12">
      <c r="A37" s="41"/>
      <c r="B37" s="15"/>
      <c r="C37" s="16"/>
      <c r="D37" s="16"/>
      <c r="E37" s="23"/>
      <c r="F37" s="24"/>
      <c r="G37" s="16"/>
      <c r="H37" s="16"/>
      <c r="I37" s="20"/>
      <c r="J37" s="18"/>
      <c r="K37" s="16"/>
      <c r="L37" s="19"/>
    </row>
    <row r="38" spans="1:12">
      <c r="A38" s="54" t="s">
        <v>80</v>
      </c>
      <c r="B38" s="15"/>
      <c r="C38" s="55"/>
      <c r="D38" s="55"/>
      <c r="E38" s="56"/>
      <c r="F38" s="57"/>
      <c r="G38" s="55"/>
      <c r="H38" s="55"/>
      <c r="I38" s="121"/>
      <c r="J38" s="58"/>
      <c r="K38" s="55"/>
      <c r="L38" s="122"/>
    </row>
    <row r="39" spans="1:12">
      <c r="A39" s="14" t="s">
        <v>81</v>
      </c>
      <c r="B39" s="15">
        <v>2</v>
      </c>
      <c r="C39" s="130"/>
      <c r="D39" s="130"/>
      <c r="E39" s="130"/>
      <c r="F39" s="27"/>
      <c r="G39" s="25"/>
      <c r="H39" s="25"/>
      <c r="I39" s="130"/>
      <c r="J39" s="58"/>
      <c r="K39" s="55"/>
      <c r="L39" s="122"/>
    </row>
    <row r="40" spans="1:12">
      <c r="A40" s="131" t="s">
        <v>82</v>
      </c>
      <c r="B40" s="132">
        <v>2</v>
      </c>
      <c r="C40" s="133"/>
      <c r="D40" s="133"/>
      <c r="E40" s="134"/>
      <c r="F40" s="135"/>
      <c r="G40" s="133"/>
      <c r="H40" s="133"/>
      <c r="I40" s="136"/>
      <c r="J40" s="137"/>
      <c r="K40" s="133"/>
      <c r="L40" s="138"/>
    </row>
    <row r="41" spans="1:12">
      <c r="A41" s="66" t="str">
        <f>head27a</f>
        <v>References</v>
      </c>
      <c r="B41" s="67"/>
      <c r="C41" s="68"/>
      <c r="D41" s="68"/>
      <c r="E41" s="68"/>
      <c r="F41" s="68"/>
      <c r="G41" s="68"/>
      <c r="H41" s="68"/>
      <c r="I41" s="68"/>
      <c r="J41" s="68"/>
      <c r="K41" s="68"/>
      <c r="L41" s="68"/>
    </row>
    <row r="42" spans="1:12">
      <c r="A42" s="69" t="s">
        <v>125</v>
      </c>
      <c r="B42" s="67"/>
      <c r="C42" s="68"/>
      <c r="D42" s="68"/>
      <c r="E42" s="68"/>
      <c r="F42" s="68"/>
      <c r="G42" s="68"/>
      <c r="H42" s="68"/>
      <c r="I42" s="68"/>
      <c r="J42" s="68"/>
      <c r="K42" s="68"/>
      <c r="L42" s="68"/>
    </row>
    <row r="43" spans="1:12">
      <c r="A43" s="69" t="s">
        <v>126</v>
      </c>
      <c r="B43" s="67"/>
      <c r="C43" s="70"/>
      <c r="D43" s="70"/>
      <c r="E43" s="68"/>
      <c r="F43" s="68"/>
      <c r="G43" s="68"/>
      <c r="H43" s="68"/>
      <c r="I43" s="68"/>
      <c r="J43" s="68"/>
      <c r="K43" s="68"/>
      <c r="L43" s="68"/>
    </row>
    <row r="44" spans="1:12">
      <c r="A44" s="139" t="s">
        <v>127</v>
      </c>
      <c r="B44" s="140"/>
      <c r="C44" s="141"/>
      <c r="D44" s="141"/>
      <c r="E44" s="142"/>
      <c r="F44" s="143"/>
      <c r="G44" s="143"/>
      <c r="H44" s="143"/>
      <c r="I44" s="143"/>
      <c r="J44" s="143"/>
      <c r="K44" s="143"/>
      <c r="L44" s="143"/>
    </row>
  </sheetData>
  <mergeCells count="2">
    <mergeCell ref="F2:I2"/>
    <mergeCell ref="J2:L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91907-5A6A-4B38-A964-7C73CBC48E04}">
  <dimension ref="A1:AI85"/>
  <sheetViews>
    <sheetView showGridLines="0" topLeftCell="A23" zoomScale="80" zoomScaleNormal="80" workbookViewId="0">
      <selection activeCell="V80" sqref="V80"/>
    </sheetView>
  </sheetViews>
  <sheetFormatPr defaultColWidth="14.44140625" defaultRowHeight="14.4" outlineLevelCol="1"/>
  <cols>
    <col min="1" max="1" width="6.33203125" customWidth="1"/>
    <col min="2" max="2" width="17.6640625" hidden="1" customWidth="1" outlineLevel="1"/>
    <col min="3" max="3" width="1.88671875" hidden="1" customWidth="1" outlineLevel="1"/>
    <col min="4" max="4" width="17.6640625" hidden="1" customWidth="1" outlineLevel="1"/>
    <col min="5" max="5" width="1.88671875" hidden="1" customWidth="1" outlineLevel="1"/>
    <col min="6" max="6" width="17.6640625" hidden="1" customWidth="1" outlineLevel="1"/>
    <col min="7" max="7" width="1.88671875" hidden="1" customWidth="1" outlineLevel="1"/>
    <col min="8" max="8" width="17.6640625" hidden="1" customWidth="1" outlineLevel="1"/>
    <col min="9" max="9" width="1.88671875" hidden="1" customWidth="1" outlineLevel="1"/>
    <col min="10" max="10" width="17.6640625" hidden="1" customWidth="1" outlineLevel="1"/>
    <col min="11" max="11" width="1.88671875" hidden="1" customWidth="1" outlineLevel="1"/>
    <col min="12" max="12" width="17.6640625" hidden="1" customWidth="1" outlineLevel="1"/>
    <col min="13" max="13" width="1.88671875" hidden="1" customWidth="1" outlineLevel="1"/>
    <col min="14" max="14" width="17.6640625" hidden="1" customWidth="1" outlineLevel="1"/>
    <col min="15" max="15" width="1.88671875" hidden="1" customWidth="1" outlineLevel="1"/>
    <col min="16" max="16" width="17.6640625" hidden="1" customWidth="1" outlineLevel="1"/>
    <col min="17" max="17" width="38" hidden="1" customWidth="1" outlineLevel="1"/>
    <col min="18" max="18" width="65.88671875" customWidth="1" collapsed="1"/>
    <col min="19" max="19" width="6.6640625" customWidth="1"/>
    <col min="20" max="20" width="17.6640625" customWidth="1"/>
    <col min="21" max="21" width="1.88671875" customWidth="1"/>
    <col min="22" max="22" width="17.6640625" customWidth="1"/>
    <col min="23" max="23" width="1.88671875" customWidth="1"/>
    <col min="24" max="24" width="1.88671875" hidden="1" customWidth="1" outlineLevel="1"/>
    <col min="25" max="27" width="18.109375" hidden="1" customWidth="1" outlineLevel="1"/>
    <col min="28" max="28" width="20.33203125" customWidth="1" collapsed="1"/>
    <col min="29" max="32" width="20.33203125" customWidth="1"/>
    <col min="34" max="34" width="17.33203125" hidden="1" customWidth="1"/>
    <col min="35" max="35" width="0" hidden="1" customWidth="1"/>
  </cols>
  <sheetData>
    <row r="1" spans="1:30" ht="19.5" customHeight="1">
      <c r="A1" s="185"/>
      <c r="B1" s="1104" t="str">
        <f>[5]Admin_Parameters!B2</f>
        <v>KANNALAND MUNICIPALITY</v>
      </c>
      <c r="C1" s="1091"/>
      <c r="D1" s="1091"/>
      <c r="E1" s="1091"/>
      <c r="F1" s="1091"/>
      <c r="G1" s="1091"/>
      <c r="H1" s="1091"/>
      <c r="I1" s="1091"/>
      <c r="J1" s="1091"/>
      <c r="K1" s="1091"/>
      <c r="L1" s="1091"/>
      <c r="M1" s="1091"/>
      <c r="N1" s="1091"/>
      <c r="O1" s="1091"/>
      <c r="P1" s="1091"/>
      <c r="Q1" s="1091"/>
      <c r="R1" s="1091"/>
      <c r="S1" s="1091"/>
      <c r="T1" s="1091"/>
      <c r="U1" s="1091"/>
      <c r="V1" s="1091"/>
      <c r="W1" s="185"/>
      <c r="X1" s="186"/>
      <c r="Y1" s="186"/>
      <c r="Z1" s="187"/>
      <c r="AA1" s="187"/>
    </row>
    <row r="2" spans="1:30" ht="18" customHeight="1" thickBot="1">
      <c r="A2" s="185"/>
      <c r="B2" s="1105" t="str">
        <f>"STATEMENT OF FINANCIAL PERFORMANCE FOR THE YEAR ENDED "&amp;[5]Admin_Parameters!C6</f>
        <v>STATEMENT OF FINANCIAL PERFORMANCE FOR THE YEAR ENDED 30 JUNE 2021</v>
      </c>
      <c r="C2" s="1091"/>
      <c r="D2" s="1091"/>
      <c r="E2" s="1091"/>
      <c r="F2" s="1091"/>
      <c r="G2" s="1091"/>
      <c r="H2" s="1091"/>
      <c r="I2" s="1091"/>
      <c r="J2" s="1091"/>
      <c r="K2" s="1091"/>
      <c r="L2" s="1091"/>
      <c r="M2" s="1091"/>
      <c r="N2" s="1091"/>
      <c r="O2" s="1091"/>
      <c r="P2" s="1091"/>
      <c r="Q2" s="1091"/>
      <c r="R2" s="1091"/>
      <c r="S2" s="1091"/>
      <c r="T2" s="1091"/>
      <c r="U2" s="1091"/>
      <c r="V2" s="1091"/>
      <c r="W2" s="185"/>
      <c r="X2" s="186"/>
      <c r="Y2" s="186"/>
      <c r="Z2" s="187"/>
      <c r="AA2" s="187"/>
    </row>
    <row r="3" spans="1:30" ht="15.75" customHeight="1">
      <c r="A3" s="188"/>
      <c r="B3" s="189"/>
      <c r="C3" s="189"/>
      <c r="D3" s="189"/>
      <c r="E3" s="189"/>
      <c r="F3" s="189"/>
      <c r="G3" s="189"/>
      <c r="H3" s="189"/>
      <c r="I3" s="189"/>
      <c r="J3" s="189"/>
      <c r="K3" s="189"/>
      <c r="L3" s="189"/>
      <c r="M3" s="189"/>
      <c r="N3" s="189"/>
      <c r="O3" s="189"/>
      <c r="P3" s="189"/>
      <c r="Q3" s="189"/>
      <c r="R3" s="190"/>
      <c r="S3" s="191"/>
      <c r="T3" s="189"/>
      <c r="U3" s="189"/>
      <c r="V3" s="189"/>
      <c r="W3" s="192"/>
      <c r="X3" s="186"/>
      <c r="Y3" s="186"/>
      <c r="Z3" s="187"/>
      <c r="AA3" s="187"/>
    </row>
    <row r="4" spans="1:30" ht="15.75" customHeight="1">
      <c r="A4" s="193"/>
      <c r="B4" s="1106" t="s">
        <v>84</v>
      </c>
      <c r="C4" s="1091"/>
      <c r="D4" s="1091"/>
      <c r="E4" s="1091"/>
      <c r="F4" s="1091"/>
      <c r="G4" s="1091"/>
      <c r="H4" s="1091"/>
      <c r="I4" s="1091"/>
      <c r="J4" s="1091"/>
      <c r="K4" s="1091"/>
      <c r="L4" s="1091"/>
      <c r="M4" s="1091"/>
      <c r="N4" s="1091"/>
      <c r="O4" s="1091"/>
      <c r="P4" s="1091"/>
      <c r="Q4" s="194"/>
      <c r="R4" s="195"/>
      <c r="S4" s="196"/>
      <c r="T4" s="1106" t="s">
        <v>195</v>
      </c>
      <c r="U4" s="1091"/>
      <c r="V4" s="1091"/>
      <c r="W4" s="197"/>
      <c r="X4" s="186"/>
      <c r="Y4" s="198"/>
      <c r="Z4" s="199"/>
      <c r="AA4" s="199"/>
    </row>
    <row r="5" spans="1:30" ht="34.5" customHeight="1">
      <c r="A5" s="193"/>
      <c r="B5" s="196" t="str">
        <f>Prior&amp;" Original"</f>
        <v>2020 Original</v>
      </c>
      <c r="C5" s="196"/>
      <c r="D5" s="196" t="str">
        <f>Prior&amp;" Adjusted"</f>
        <v>2020 Adjusted</v>
      </c>
      <c r="E5" s="196"/>
      <c r="F5" s="1090" t="str">
        <f>Prior&amp;" Special Adjusted"</f>
        <v>2020 Special Adjusted</v>
      </c>
      <c r="G5" s="196"/>
      <c r="H5" s="196" t="str">
        <f>Prior&amp;" Final"</f>
        <v>2020 Final</v>
      </c>
      <c r="I5" s="200"/>
      <c r="J5" s="201" t="str">
        <f>[5]Admin_Parameters!C17 &amp; " Original"</f>
        <v>2021 Original</v>
      </c>
      <c r="K5" s="200"/>
      <c r="L5" s="201" t="str">
        <f>[5]Admin_Parameters!C17 &amp; " Adjusted"</f>
        <v>2021 Adjusted</v>
      </c>
      <c r="M5" s="200"/>
      <c r="N5" s="1092" t="str">
        <f>[5]Admin_Parameters!C17 &amp; " Special Adjusted"</f>
        <v>2021 Special Adjusted</v>
      </c>
      <c r="O5" s="200"/>
      <c r="P5" s="201" t="str">
        <f>[5]Admin_Parameters!C17 &amp; " Final"</f>
        <v>2021 Final</v>
      </c>
      <c r="Q5" s="1094" t="s">
        <v>196</v>
      </c>
      <c r="R5" s="195"/>
      <c r="S5" s="196"/>
      <c r="T5" s="203" t="s">
        <v>638</v>
      </c>
      <c r="U5" s="200"/>
      <c r="V5" s="203" t="s">
        <v>639</v>
      </c>
      <c r="W5" s="197"/>
      <c r="X5" s="186"/>
      <c r="Y5" s="198">
        <f>[5]Admin_Parameters!C21</f>
        <v>2019</v>
      </c>
      <c r="Z5" s="199" t="s">
        <v>197</v>
      </c>
      <c r="AA5" s="199" t="s">
        <v>198</v>
      </c>
    </row>
    <row r="6" spans="1:30" ht="15.75" customHeight="1">
      <c r="A6" s="193"/>
      <c r="B6" s="196"/>
      <c r="C6" s="196"/>
      <c r="D6" s="196"/>
      <c r="E6" s="196"/>
      <c r="F6" s="1091"/>
      <c r="G6" s="196"/>
      <c r="H6" s="196"/>
      <c r="I6" s="200"/>
      <c r="J6" s="201"/>
      <c r="K6" s="200"/>
      <c r="L6" s="201"/>
      <c r="M6" s="200"/>
      <c r="N6" s="1093"/>
      <c r="O6" s="200"/>
      <c r="P6" s="201"/>
      <c r="Q6" s="1091"/>
      <c r="R6" s="195"/>
      <c r="S6" s="196" t="s">
        <v>199</v>
      </c>
      <c r="T6" s="202"/>
      <c r="U6" s="200"/>
      <c r="V6" s="203" t="s">
        <v>200</v>
      </c>
      <c r="W6" s="197"/>
      <c r="X6" s="186"/>
      <c r="Y6" s="198"/>
      <c r="Z6" s="199"/>
      <c r="AA6" s="199"/>
    </row>
    <row r="7" spans="1:30" ht="15.75" customHeight="1">
      <c r="A7" s="193"/>
      <c r="B7" s="200" t="s">
        <v>53</v>
      </c>
      <c r="C7" s="204"/>
      <c r="D7" s="200" t="s">
        <v>53</v>
      </c>
      <c r="E7" s="204"/>
      <c r="F7" s="200" t="s">
        <v>53</v>
      </c>
      <c r="G7" s="204"/>
      <c r="H7" s="200" t="s">
        <v>53</v>
      </c>
      <c r="I7" s="204"/>
      <c r="J7" s="205" t="s">
        <v>53</v>
      </c>
      <c r="K7" s="204"/>
      <c r="L7" s="205" t="s">
        <v>53</v>
      </c>
      <c r="M7" s="204"/>
      <c r="N7" s="205" t="s">
        <v>53</v>
      </c>
      <c r="O7" s="204"/>
      <c r="P7" s="205" t="s">
        <v>53</v>
      </c>
      <c r="Q7" s="1091"/>
      <c r="R7" s="206"/>
      <c r="S7" s="196"/>
      <c r="T7" s="200" t="s">
        <v>53</v>
      </c>
      <c r="U7" s="204"/>
      <c r="V7" s="200" t="s">
        <v>53</v>
      </c>
      <c r="W7" s="197"/>
      <c r="X7" s="186"/>
      <c r="Y7" s="207"/>
      <c r="Z7" s="187"/>
      <c r="AA7" s="187"/>
    </row>
    <row r="8" spans="1:30" ht="15.75" customHeight="1">
      <c r="A8" s="193"/>
      <c r="B8" s="204"/>
      <c r="C8" s="204"/>
      <c r="D8" s="204"/>
      <c r="E8" s="204"/>
      <c r="F8" s="204"/>
      <c r="G8" s="204"/>
      <c r="H8" s="204"/>
      <c r="I8" s="204"/>
      <c r="J8" s="208"/>
      <c r="K8" s="204"/>
      <c r="L8" s="208"/>
      <c r="M8" s="204"/>
      <c r="N8" s="208"/>
      <c r="O8" s="204"/>
      <c r="P8" s="208"/>
      <c r="Q8" s="204"/>
      <c r="R8" s="206" t="s">
        <v>0</v>
      </c>
      <c r="S8" s="196"/>
      <c r="T8" s="204"/>
      <c r="U8" s="204"/>
      <c r="V8" s="204"/>
      <c r="W8" s="197"/>
      <c r="X8" s="186"/>
      <c r="Y8" s="207"/>
      <c r="Z8" s="187"/>
      <c r="AA8" s="187"/>
    </row>
    <row r="9" spans="1:30" ht="15.75" customHeight="1">
      <c r="A9" s="193"/>
      <c r="B9" s="204"/>
      <c r="C9" s="204"/>
      <c r="D9" s="204"/>
      <c r="E9" s="204"/>
      <c r="F9" s="204"/>
      <c r="G9" s="204"/>
      <c r="H9" s="204"/>
      <c r="I9" s="204"/>
      <c r="J9" s="208"/>
      <c r="K9" s="204"/>
      <c r="L9" s="208"/>
      <c r="M9" s="204"/>
      <c r="N9" s="208"/>
      <c r="O9" s="204"/>
      <c r="P9" s="208"/>
      <c r="Q9" s="204"/>
      <c r="R9" s="209" t="s">
        <v>54</v>
      </c>
      <c r="S9" s="196"/>
      <c r="T9" s="210">
        <f>SUM(T10:T15)</f>
        <v>88122156.960000008</v>
      </c>
      <c r="U9" s="204"/>
      <c r="V9" s="210">
        <f>SUM(V10:V15)</f>
        <v>82396361.370000005</v>
      </c>
      <c r="W9" s="197"/>
      <c r="X9" s="186"/>
      <c r="Y9" s="211">
        <f>SUM(Y10:Y15)</f>
        <v>82247799.120000005</v>
      </c>
      <c r="Z9" s="212"/>
      <c r="AA9" s="212"/>
    </row>
    <row r="10" spans="1:30" ht="15.75" customHeight="1">
      <c r="A10" s="193"/>
      <c r="B10" s="213">
        <v>17116990</v>
      </c>
      <c r="C10" s="204"/>
      <c r="D10" s="213">
        <v>17116990</v>
      </c>
      <c r="E10" s="204"/>
      <c r="F10" s="213">
        <v>17116990</v>
      </c>
      <c r="G10" s="204"/>
      <c r="H10" s="213">
        <v>17116990</v>
      </c>
      <c r="I10" s="204"/>
      <c r="J10" s="213">
        <v>19539980</v>
      </c>
      <c r="K10" s="204"/>
      <c r="L10" s="213">
        <v>19539980</v>
      </c>
      <c r="M10" s="204"/>
      <c r="N10" s="213">
        <v>19539980</v>
      </c>
      <c r="O10" s="204"/>
      <c r="P10" s="213">
        <v>22820500</v>
      </c>
      <c r="Q10" s="204"/>
      <c r="R10" s="214" t="s">
        <v>201</v>
      </c>
      <c r="S10" s="215" t="str">
        <f>[5]Note_Revenue!A7</f>
        <v>23.</v>
      </c>
      <c r="T10" s="216">
        <v>25891439.009999998</v>
      </c>
      <c r="U10" s="204"/>
      <c r="V10" s="216">
        <v>19319923.34</v>
      </c>
      <c r="W10" s="197"/>
      <c r="X10" s="186"/>
      <c r="Y10" s="217">
        <f>[5]Note_Revenue!N36</f>
        <v>16271388.690000001</v>
      </c>
      <c r="Z10" s="212">
        <v>16753466.82</v>
      </c>
      <c r="AA10" s="212">
        <f t="shared" ref="AA10:AA15" si="0">V10-Z10</f>
        <v>2566456.5199999996</v>
      </c>
    </row>
    <row r="11" spans="1:30" ht="15.75" customHeight="1">
      <c r="A11" s="193"/>
      <c r="B11" s="213">
        <v>8928170</v>
      </c>
      <c r="C11" s="204"/>
      <c r="D11" s="213">
        <v>8928170</v>
      </c>
      <c r="E11" s="204"/>
      <c r="F11" s="213">
        <v>8928170</v>
      </c>
      <c r="G11" s="204"/>
      <c r="H11" s="213">
        <v>7369600</v>
      </c>
      <c r="I11" s="204"/>
      <c r="J11" s="213">
        <v>7384420</v>
      </c>
      <c r="K11" s="204"/>
      <c r="L11" s="213">
        <v>7384420</v>
      </c>
      <c r="M11" s="204"/>
      <c r="N11" s="213">
        <v>7384420</v>
      </c>
      <c r="O11" s="204"/>
      <c r="P11" s="213">
        <v>6354450</v>
      </c>
      <c r="Q11" s="204"/>
      <c r="R11" s="214" t="s">
        <v>202</v>
      </c>
      <c r="S11" s="215" t="str">
        <f>[5]Note_Revenue!A95</f>
        <v>24.</v>
      </c>
      <c r="T11" s="218">
        <v>38651.289999999994</v>
      </c>
      <c r="U11" s="204"/>
      <c r="V11" s="218">
        <v>141591.35000000003</v>
      </c>
      <c r="W11" s="197"/>
      <c r="X11" s="186"/>
      <c r="Y11" s="219">
        <f>[5]Note_Revenue!N119</f>
        <v>7204256.1799999997</v>
      </c>
      <c r="Z11" s="212">
        <v>6637277.7400000002</v>
      </c>
      <c r="AA11" s="212">
        <f t="shared" si="0"/>
        <v>-6495686.3900000006</v>
      </c>
    </row>
    <row r="12" spans="1:30" ht="15.75" customHeight="1">
      <c r="A12" s="193"/>
      <c r="B12" s="213">
        <v>33760</v>
      </c>
      <c r="C12" s="204"/>
      <c r="D12" s="213">
        <v>33760</v>
      </c>
      <c r="E12" s="204"/>
      <c r="F12" s="213">
        <v>33760</v>
      </c>
      <c r="G12" s="204"/>
      <c r="H12" s="213">
        <v>67880</v>
      </c>
      <c r="I12" s="204"/>
      <c r="J12" s="213">
        <v>50000</v>
      </c>
      <c r="K12" s="204"/>
      <c r="L12" s="213">
        <v>50000</v>
      </c>
      <c r="M12" s="204"/>
      <c r="N12" s="213">
        <v>50000</v>
      </c>
      <c r="O12" s="204"/>
      <c r="P12" s="213">
        <v>65100</v>
      </c>
      <c r="Q12" s="204"/>
      <c r="R12" s="214" t="s">
        <v>203</v>
      </c>
      <c r="S12" s="215" t="str">
        <f>[5]Note_Revenue!A137</f>
        <v>25.</v>
      </c>
      <c r="T12" s="218">
        <v>24571.759999999998</v>
      </c>
      <c r="U12" s="204"/>
      <c r="V12" s="218">
        <v>0</v>
      </c>
      <c r="W12" s="197"/>
      <c r="X12" s="186"/>
      <c r="Y12" s="219">
        <f>[5]Note_Revenue!N174</f>
        <v>172889.05</v>
      </c>
      <c r="Z12" s="212">
        <v>0</v>
      </c>
      <c r="AA12" s="212">
        <f t="shared" si="0"/>
        <v>0</v>
      </c>
      <c r="AB12" s="906"/>
      <c r="AC12" s="906"/>
      <c r="AD12" s="906"/>
    </row>
    <row r="13" spans="1:30" ht="15.75" customHeight="1">
      <c r="A13" s="193"/>
      <c r="B13" s="213">
        <v>89383280</v>
      </c>
      <c r="C13" s="204"/>
      <c r="D13" s="213">
        <v>89383280</v>
      </c>
      <c r="E13" s="204"/>
      <c r="F13" s="213">
        <v>89383280</v>
      </c>
      <c r="G13" s="204"/>
      <c r="H13" s="213">
        <v>78402030</v>
      </c>
      <c r="I13" s="204"/>
      <c r="J13" s="213">
        <v>103123370</v>
      </c>
      <c r="K13" s="204"/>
      <c r="L13" s="213">
        <v>103123370</v>
      </c>
      <c r="M13" s="204"/>
      <c r="N13" s="213">
        <v>103123370</v>
      </c>
      <c r="O13" s="204"/>
      <c r="P13" s="213">
        <v>82363126</v>
      </c>
      <c r="Q13" s="194">
        <v>80217790</v>
      </c>
      <c r="R13" s="214" t="s">
        <v>204</v>
      </c>
      <c r="S13" s="215" t="str">
        <f>[5]Note_Revenue!A220</f>
        <v>26.</v>
      </c>
      <c r="T13" s="218">
        <v>60590120.510000005</v>
      </c>
      <c r="U13" s="204"/>
      <c r="V13" s="218">
        <v>62159164.780000001</v>
      </c>
      <c r="W13" s="197"/>
      <c r="X13" s="186"/>
      <c r="Y13" s="219">
        <f>[5]Note_Revenue!N229</f>
        <v>58566457.760000005</v>
      </c>
      <c r="Z13" s="212">
        <v>61672932.100000001</v>
      </c>
      <c r="AA13" s="212">
        <f t="shared" si="0"/>
        <v>486232.6799999997</v>
      </c>
      <c r="AB13" s="906"/>
      <c r="AC13" s="906"/>
      <c r="AD13" s="906"/>
    </row>
    <row r="14" spans="1:30" ht="15.75" hidden="1" customHeight="1">
      <c r="A14" s="220"/>
      <c r="B14" s="213">
        <v>0</v>
      </c>
      <c r="C14" s="204"/>
      <c r="D14" s="213">
        <v>0</v>
      </c>
      <c r="E14" s="204"/>
      <c r="F14" s="213">
        <v>0</v>
      </c>
      <c r="G14" s="204"/>
      <c r="H14" s="213">
        <v>0</v>
      </c>
      <c r="I14" s="204"/>
      <c r="J14" s="213">
        <v>0</v>
      </c>
      <c r="K14" s="204"/>
      <c r="L14" s="213">
        <v>0</v>
      </c>
      <c r="M14" s="204"/>
      <c r="N14" s="213">
        <v>0</v>
      </c>
      <c r="O14" s="204"/>
      <c r="P14" s="213">
        <v>0</v>
      </c>
      <c r="Q14" s="204"/>
      <c r="R14" s="214" t="s">
        <v>205</v>
      </c>
      <c r="S14" s="215" t="str">
        <f>[5]Note_Revenue!A987</f>
        <v>38.</v>
      </c>
      <c r="T14" s="218">
        <v>0</v>
      </c>
      <c r="U14" s="204"/>
      <c r="V14" s="218">
        <v>0</v>
      </c>
      <c r="W14" s="197"/>
      <c r="X14" s="186"/>
      <c r="Y14" s="219">
        <f>[5]Note_Revenue!N992</f>
        <v>0</v>
      </c>
      <c r="Z14" s="212">
        <v>0</v>
      </c>
      <c r="AA14" s="212">
        <f t="shared" si="0"/>
        <v>0</v>
      </c>
      <c r="AB14" s="906"/>
      <c r="AC14" s="906"/>
      <c r="AD14" s="906"/>
    </row>
    <row r="15" spans="1:30" ht="15.75" customHeight="1">
      <c r="A15" s="193"/>
      <c r="B15" s="213">
        <v>1409070</v>
      </c>
      <c r="C15" s="204"/>
      <c r="D15" s="213">
        <v>1409070</v>
      </c>
      <c r="E15" s="204"/>
      <c r="F15" s="213">
        <v>1409070</v>
      </c>
      <c r="G15" s="204"/>
      <c r="H15" s="213">
        <v>1409070</v>
      </c>
      <c r="I15" s="204"/>
      <c r="J15" s="213">
        <v>1521800</v>
      </c>
      <c r="K15" s="204"/>
      <c r="L15" s="213">
        <v>1521800</v>
      </c>
      <c r="M15" s="204"/>
      <c r="N15" s="213">
        <v>1521800</v>
      </c>
      <c r="O15" s="204"/>
      <c r="P15" s="213">
        <v>1531150</v>
      </c>
      <c r="Q15" s="204"/>
      <c r="R15" s="214" t="s">
        <v>206</v>
      </c>
      <c r="S15" s="215" t="str">
        <f>[5]Note_Revenue!A1199</f>
        <v>31.</v>
      </c>
      <c r="T15" s="221">
        <v>1577374.39</v>
      </c>
      <c r="U15" s="204"/>
      <c r="V15" s="221">
        <v>775681.9</v>
      </c>
      <c r="W15" s="197"/>
      <c r="X15" s="186"/>
      <c r="Y15" s="222">
        <f>[5]Note_Revenue!N1205</f>
        <v>32807.440000000002</v>
      </c>
      <c r="Z15" s="212">
        <v>790991.34</v>
      </c>
      <c r="AA15" s="212">
        <f t="shared" si="0"/>
        <v>-15309.439999999944</v>
      </c>
      <c r="AB15" s="906"/>
      <c r="AC15" s="906"/>
      <c r="AD15" s="906"/>
    </row>
    <row r="16" spans="1:30" ht="15.75" customHeight="1">
      <c r="A16" s="193"/>
      <c r="B16" s="204"/>
      <c r="C16" s="204"/>
      <c r="D16" s="204"/>
      <c r="E16" s="204"/>
      <c r="F16" s="204"/>
      <c r="G16" s="204"/>
      <c r="H16" s="204"/>
      <c r="I16" s="204"/>
      <c r="J16" s="223"/>
      <c r="K16" s="204"/>
      <c r="L16" s="223"/>
      <c r="M16" s="204"/>
      <c r="N16" s="223"/>
      <c r="O16" s="204"/>
      <c r="P16" s="223"/>
      <c r="Q16" s="204"/>
      <c r="R16" s="214"/>
      <c r="S16" s="196"/>
      <c r="T16" s="224"/>
      <c r="U16" s="204"/>
      <c r="V16" s="224"/>
      <c r="W16" s="197"/>
      <c r="X16" s="186"/>
      <c r="Y16" s="212"/>
      <c r="Z16" s="212"/>
      <c r="AA16" s="212"/>
      <c r="AB16" s="906"/>
      <c r="AC16" s="906"/>
      <c r="AD16" s="906"/>
    </row>
    <row r="17" spans="1:30" ht="15.75" customHeight="1">
      <c r="A17" s="193"/>
      <c r="B17" s="204"/>
      <c r="C17" s="204"/>
      <c r="D17" s="204"/>
      <c r="E17" s="204"/>
      <c r="F17" s="204"/>
      <c r="G17" s="204"/>
      <c r="H17" s="204"/>
      <c r="I17" s="204"/>
      <c r="J17" s="208"/>
      <c r="K17" s="204"/>
      <c r="L17" s="208"/>
      <c r="M17" s="204"/>
      <c r="N17" s="208"/>
      <c r="O17" s="204"/>
      <c r="P17" s="208"/>
      <c r="Q17" s="225"/>
      <c r="R17" s="209" t="s">
        <v>55</v>
      </c>
      <c r="S17" s="196"/>
      <c r="T17" s="210">
        <f>SUM(T18:T26)</f>
        <v>109366321.55000001</v>
      </c>
      <c r="U17" s="204"/>
      <c r="V17" s="210">
        <f>SUM(V18:V26)</f>
        <v>94442618.919999972</v>
      </c>
      <c r="W17" s="197"/>
      <c r="X17" s="186"/>
      <c r="Y17" s="211">
        <f>SUM(Y18:Y26)</f>
        <v>75985751.409999996</v>
      </c>
      <c r="Z17" s="212"/>
      <c r="AA17" s="212"/>
      <c r="AB17" s="906"/>
      <c r="AC17" s="906"/>
      <c r="AD17" s="906"/>
    </row>
    <row r="18" spans="1:30" ht="15.75" customHeight="1">
      <c r="A18" s="193"/>
      <c r="B18" s="213">
        <v>126240</v>
      </c>
      <c r="C18" s="204"/>
      <c r="D18" s="213">
        <v>126240</v>
      </c>
      <c r="E18" s="204"/>
      <c r="F18" s="213">
        <v>126240</v>
      </c>
      <c r="G18" s="204"/>
      <c r="H18" s="213">
        <v>130000</v>
      </c>
      <c r="I18" s="204"/>
      <c r="J18" s="213">
        <v>0</v>
      </c>
      <c r="K18" s="204"/>
      <c r="L18" s="213">
        <v>0</v>
      </c>
      <c r="M18" s="204"/>
      <c r="N18" s="213">
        <v>0</v>
      </c>
      <c r="O18" s="204"/>
      <c r="P18" s="213">
        <v>150000</v>
      </c>
      <c r="Q18" s="225"/>
      <c r="R18" s="214" t="s">
        <v>203</v>
      </c>
      <c r="S18" s="215" t="str">
        <f>[5]Note_Revenue!A137</f>
        <v>25.</v>
      </c>
      <c r="T18" s="216">
        <v>134695.85999999999</v>
      </c>
      <c r="U18" s="204"/>
      <c r="V18" s="216">
        <v>217216.73</v>
      </c>
      <c r="W18" s="197"/>
      <c r="X18" s="186"/>
      <c r="Y18" s="217">
        <v>0</v>
      </c>
      <c r="Z18" s="212">
        <v>164344.75</v>
      </c>
      <c r="AA18" s="212">
        <f t="shared" ref="AA18:AA26" si="1">V18-Z18</f>
        <v>52871.98000000001</v>
      </c>
      <c r="AB18" s="906"/>
      <c r="AC18" s="906"/>
      <c r="AD18" s="906"/>
    </row>
    <row r="19" spans="1:30" ht="15.75" customHeight="1">
      <c r="A19" s="193"/>
      <c r="B19" s="213">
        <v>88957830</v>
      </c>
      <c r="C19" s="204"/>
      <c r="D19" s="213">
        <v>88957830</v>
      </c>
      <c r="E19" s="204"/>
      <c r="F19" s="213">
        <v>88957830</v>
      </c>
      <c r="G19" s="204"/>
      <c r="H19" s="213">
        <v>90424900</v>
      </c>
      <c r="I19" s="204"/>
      <c r="J19" s="213">
        <v>92033360</v>
      </c>
      <c r="K19" s="204"/>
      <c r="L19" s="213">
        <v>92033360</v>
      </c>
      <c r="M19" s="204"/>
      <c r="N19" s="213">
        <v>92033360</v>
      </c>
      <c r="O19" s="204"/>
      <c r="P19" s="213">
        <v>88166770</v>
      </c>
      <c r="Q19" s="225"/>
      <c r="R19" s="214" t="s">
        <v>207</v>
      </c>
      <c r="S19" s="215" t="str">
        <f>[5]Note_Revenue!A1010</f>
        <v>27.</v>
      </c>
      <c r="T19" s="218">
        <v>102394082.02000001</v>
      </c>
      <c r="U19" s="204"/>
      <c r="V19" s="218">
        <v>87851151.529999986</v>
      </c>
      <c r="W19" s="197"/>
      <c r="X19" s="186"/>
      <c r="Y19" s="219">
        <f>[5]Note_Revenue!N1017</f>
        <v>69666651.530000001</v>
      </c>
      <c r="Z19" s="212">
        <v>87281177.140000001</v>
      </c>
      <c r="AA19" s="212">
        <f t="shared" si="1"/>
        <v>569974.38999998569</v>
      </c>
    </row>
    <row r="20" spans="1:30" ht="15.75" customHeight="1">
      <c r="A20" s="193"/>
      <c r="B20" s="213">
        <v>1522510</v>
      </c>
      <c r="C20" s="204"/>
      <c r="D20" s="213">
        <v>1522510</v>
      </c>
      <c r="E20" s="204"/>
      <c r="F20" s="213">
        <v>1522510</v>
      </c>
      <c r="G20" s="204"/>
      <c r="H20" s="213">
        <v>1410080</v>
      </c>
      <c r="I20" s="204"/>
      <c r="J20" s="213">
        <v>185400</v>
      </c>
      <c r="K20" s="204"/>
      <c r="L20" s="213">
        <v>185400</v>
      </c>
      <c r="M20" s="204"/>
      <c r="N20" s="213">
        <v>185400</v>
      </c>
      <c r="O20" s="204"/>
      <c r="P20" s="213">
        <v>411740</v>
      </c>
      <c r="Q20" s="225"/>
      <c r="R20" s="214" t="s">
        <v>208</v>
      </c>
      <c r="S20" s="215" t="str">
        <f>[5]Note_Revenue!A1046</f>
        <v>28.</v>
      </c>
      <c r="T20" s="218">
        <v>307283.82999999996</v>
      </c>
      <c r="U20" s="204"/>
      <c r="V20" s="218">
        <v>473386.13</v>
      </c>
      <c r="W20" s="197"/>
      <c r="X20" s="186"/>
      <c r="Y20" s="219">
        <f>[5]Note_Revenue!N1097</f>
        <v>381319.58999999997</v>
      </c>
      <c r="Z20" s="212">
        <v>243212.39</v>
      </c>
      <c r="AA20" s="212">
        <f t="shared" si="1"/>
        <v>230173.74</v>
      </c>
    </row>
    <row r="21" spans="1:30" ht="15.75" customHeight="1">
      <c r="A21" s="193"/>
      <c r="B21" s="213">
        <v>1009920</v>
      </c>
      <c r="C21" s="204"/>
      <c r="D21" s="213">
        <v>1009920</v>
      </c>
      <c r="E21" s="204"/>
      <c r="F21" s="213">
        <v>1009920</v>
      </c>
      <c r="G21" s="204"/>
      <c r="H21" s="213">
        <v>1009920</v>
      </c>
      <c r="I21" s="204"/>
      <c r="J21" s="213">
        <v>1000000</v>
      </c>
      <c r="K21" s="204"/>
      <c r="L21" s="213">
        <v>1000000</v>
      </c>
      <c r="M21" s="204"/>
      <c r="N21" s="213">
        <v>1000000</v>
      </c>
      <c r="O21" s="204"/>
      <c r="P21" s="213">
        <v>1025000</v>
      </c>
      <c r="Q21" s="225"/>
      <c r="R21" s="214" t="s">
        <v>209</v>
      </c>
      <c r="S21" s="215" t="str">
        <f>[5]Note_Revenue!A1115</f>
        <v>29.</v>
      </c>
      <c r="T21" s="218">
        <v>1098291.3500000001</v>
      </c>
      <c r="U21" s="204"/>
      <c r="V21" s="218">
        <v>1083022.3700000001</v>
      </c>
      <c r="W21" s="197"/>
      <c r="X21" s="186"/>
      <c r="Y21" s="219">
        <f>[5]Note_Revenue!N1125</f>
        <v>828351.27</v>
      </c>
      <c r="Z21" s="212">
        <v>957945.23</v>
      </c>
      <c r="AA21" s="212">
        <f t="shared" si="1"/>
        <v>125077.14000000013</v>
      </c>
    </row>
    <row r="22" spans="1:30" ht="15.75" customHeight="1">
      <c r="A22" s="193"/>
      <c r="B22" s="213">
        <v>956250</v>
      </c>
      <c r="C22" s="204"/>
      <c r="D22" s="213">
        <v>956250</v>
      </c>
      <c r="E22" s="204"/>
      <c r="F22" s="213">
        <v>956250</v>
      </c>
      <c r="G22" s="204"/>
      <c r="H22" s="213">
        <v>880700</v>
      </c>
      <c r="I22" s="204"/>
      <c r="J22" s="213">
        <v>17160</v>
      </c>
      <c r="K22" s="204"/>
      <c r="L22" s="213">
        <v>17160</v>
      </c>
      <c r="M22" s="204"/>
      <c r="N22" s="213">
        <v>17160</v>
      </c>
      <c r="O22" s="204"/>
      <c r="P22" s="213">
        <v>567420</v>
      </c>
      <c r="Q22" s="225"/>
      <c r="R22" s="214" t="s">
        <v>210</v>
      </c>
      <c r="S22" s="215" t="str">
        <f>[5]Note_Revenue!A1151</f>
        <v>30.</v>
      </c>
      <c r="T22" s="218">
        <v>551569.42000000004</v>
      </c>
      <c r="U22" s="204"/>
      <c r="V22" s="218">
        <v>570247.21000000008</v>
      </c>
      <c r="W22" s="197"/>
      <c r="X22" s="186"/>
      <c r="Y22" s="219">
        <f>[5]Note_Revenue!N1178</f>
        <v>516496.88</v>
      </c>
      <c r="Z22" s="212">
        <v>528461.91</v>
      </c>
      <c r="AA22" s="212">
        <f t="shared" si="1"/>
        <v>41785.300000000047</v>
      </c>
    </row>
    <row r="23" spans="1:30" ht="15.75" customHeight="1">
      <c r="A23" s="193"/>
      <c r="B23" s="213">
        <v>4738450</v>
      </c>
      <c r="C23" s="204"/>
      <c r="D23" s="213">
        <v>4738450</v>
      </c>
      <c r="E23" s="204"/>
      <c r="F23" s="213">
        <v>4738450</v>
      </c>
      <c r="G23" s="204"/>
      <c r="H23" s="213">
        <v>4990270</v>
      </c>
      <c r="I23" s="204"/>
      <c r="J23" s="213">
        <v>4045210</v>
      </c>
      <c r="K23" s="204"/>
      <c r="L23" s="213">
        <v>4045210</v>
      </c>
      <c r="M23" s="204"/>
      <c r="N23" s="213">
        <v>4045210</v>
      </c>
      <c r="O23" s="204"/>
      <c r="P23" s="213">
        <v>4737990</v>
      </c>
      <c r="Q23" s="225"/>
      <c r="R23" s="214" t="s">
        <v>206</v>
      </c>
      <c r="S23" s="215" t="str">
        <f>[5]Note_Revenue!A1199</f>
        <v>31.</v>
      </c>
      <c r="T23" s="218">
        <v>4639055.6399999997</v>
      </c>
      <c r="U23" s="204"/>
      <c r="V23" s="218">
        <v>3915960.63</v>
      </c>
      <c r="W23" s="197"/>
      <c r="X23" s="186"/>
      <c r="Y23" s="219">
        <f>[5]Note_Revenue!N1253</f>
        <v>4352638.4600000009</v>
      </c>
      <c r="Z23" s="212">
        <v>3445859.05</v>
      </c>
      <c r="AA23" s="212">
        <f t="shared" si="1"/>
        <v>470101.58000000007</v>
      </c>
    </row>
    <row r="24" spans="1:30" ht="15.75" customHeight="1">
      <c r="A24" s="193"/>
      <c r="B24" s="213">
        <v>137470</v>
      </c>
      <c r="C24" s="204"/>
      <c r="D24" s="213">
        <v>137470</v>
      </c>
      <c r="E24" s="204"/>
      <c r="F24" s="213">
        <v>137470</v>
      </c>
      <c r="G24" s="204"/>
      <c r="H24" s="213">
        <v>116170</v>
      </c>
      <c r="I24" s="204"/>
      <c r="J24" s="213">
        <v>179940</v>
      </c>
      <c r="K24" s="204"/>
      <c r="L24" s="213">
        <v>179940</v>
      </c>
      <c r="M24" s="204"/>
      <c r="N24" s="213">
        <v>179940</v>
      </c>
      <c r="O24" s="204"/>
      <c r="P24" s="213">
        <v>126270</v>
      </c>
      <c r="Q24" s="225"/>
      <c r="R24" s="214" t="s">
        <v>211</v>
      </c>
      <c r="S24" s="215" t="str">
        <f>[5]Note_Revenue!A1292</f>
        <v>32.</v>
      </c>
      <c r="T24" s="218">
        <v>241343.43</v>
      </c>
      <c r="U24" s="204"/>
      <c r="V24" s="218">
        <v>331634.32000000007</v>
      </c>
      <c r="W24" s="197"/>
      <c r="X24" s="186"/>
      <c r="Y24" s="219">
        <f>[5]Note_Revenue!N1314</f>
        <v>240293.68</v>
      </c>
      <c r="Z24" s="212">
        <v>17037.05</v>
      </c>
      <c r="AA24" s="212">
        <f t="shared" si="1"/>
        <v>314597.27000000008</v>
      </c>
    </row>
    <row r="25" spans="1:30" ht="15.75" hidden="1" customHeight="1">
      <c r="A25" s="220"/>
      <c r="B25" s="213">
        <v>0</v>
      </c>
      <c r="C25" s="204"/>
      <c r="D25" s="213">
        <v>0</v>
      </c>
      <c r="E25" s="204"/>
      <c r="F25" s="213">
        <v>0</v>
      </c>
      <c r="G25" s="204"/>
      <c r="H25" s="213">
        <v>0</v>
      </c>
      <c r="I25" s="204"/>
      <c r="J25" s="213">
        <v>0</v>
      </c>
      <c r="K25" s="204"/>
      <c r="L25" s="213">
        <v>0</v>
      </c>
      <c r="M25" s="204"/>
      <c r="N25" s="213">
        <v>0</v>
      </c>
      <c r="O25" s="204"/>
      <c r="P25" s="213">
        <v>0</v>
      </c>
      <c r="Q25" s="225"/>
      <c r="R25" s="214" t="s">
        <v>212</v>
      </c>
      <c r="S25" s="215" t="str">
        <f>[5]Note_Revenue!A1115</f>
        <v>29.</v>
      </c>
      <c r="T25" s="218">
        <f>[5]Note_Revenue!I1366</f>
        <v>0</v>
      </c>
      <c r="U25" s="204"/>
      <c r="V25" s="218">
        <f>[5]Note_Revenue!K1366</f>
        <v>0</v>
      </c>
      <c r="W25" s="197"/>
      <c r="X25" s="186"/>
      <c r="Y25" s="219">
        <f>[5]Note_Revenue!N1366</f>
        <v>0</v>
      </c>
      <c r="Z25" s="212"/>
      <c r="AA25" s="212">
        <f t="shared" si="1"/>
        <v>0</v>
      </c>
    </row>
    <row r="26" spans="1:30" ht="15.75" hidden="1" customHeight="1">
      <c r="A26" s="220"/>
      <c r="B26" s="213">
        <v>0</v>
      </c>
      <c r="C26" s="204"/>
      <c r="D26" s="213">
        <v>0</v>
      </c>
      <c r="E26" s="204"/>
      <c r="F26" s="213">
        <v>0</v>
      </c>
      <c r="G26" s="204"/>
      <c r="H26" s="213">
        <v>0</v>
      </c>
      <c r="I26" s="204"/>
      <c r="J26" s="213">
        <v>0</v>
      </c>
      <c r="K26" s="204"/>
      <c r="L26" s="213">
        <v>0</v>
      </c>
      <c r="M26" s="204"/>
      <c r="N26" s="213">
        <v>0</v>
      </c>
      <c r="O26" s="204"/>
      <c r="P26" s="213">
        <v>0</v>
      </c>
      <c r="Q26" s="226"/>
      <c r="R26" s="214" t="s">
        <v>213</v>
      </c>
      <c r="S26" s="215" t="str">
        <f>[5]Note_Expenditure!A1244</f>
        <v>44.</v>
      </c>
      <c r="T26" s="221">
        <f>[5]Note_Expenditure!I1256</f>
        <v>0</v>
      </c>
      <c r="U26" s="204"/>
      <c r="V26" s="221">
        <f>[5]Note_Expenditure!K1256</f>
        <v>0</v>
      </c>
      <c r="W26" s="197"/>
      <c r="X26" s="186"/>
      <c r="Y26" s="222">
        <f>[5]Note_Expenditure!N1256</f>
        <v>0</v>
      </c>
      <c r="Z26" s="212">
        <v>0</v>
      </c>
      <c r="AA26" s="212">
        <f t="shared" si="1"/>
        <v>0</v>
      </c>
    </row>
    <row r="27" spans="1:30" ht="15.75" customHeight="1">
      <c r="A27" s="193"/>
      <c r="B27" s="227"/>
      <c r="C27" s="204"/>
      <c r="D27" s="227"/>
      <c r="E27" s="204"/>
      <c r="F27" s="227"/>
      <c r="G27" s="204"/>
      <c r="H27" s="227"/>
      <c r="I27" s="204"/>
      <c r="J27" s="228"/>
      <c r="K27" s="204"/>
      <c r="L27" s="228"/>
      <c r="M27" s="204"/>
      <c r="N27" s="228"/>
      <c r="O27" s="204"/>
      <c r="P27" s="228"/>
      <c r="Q27" s="229"/>
      <c r="R27" s="214"/>
      <c r="S27" s="196"/>
      <c r="T27" s="230"/>
      <c r="U27" s="204"/>
      <c r="V27" s="230"/>
      <c r="W27" s="197"/>
      <c r="X27" s="186"/>
      <c r="Y27" s="231"/>
      <c r="Z27" s="231"/>
      <c r="AA27" s="231"/>
    </row>
    <row r="28" spans="1:30" ht="15.75" customHeight="1" thickBot="1">
      <c r="A28" s="193"/>
      <c r="B28" s="232">
        <f>SUM(B8:B26)</f>
        <v>214319940</v>
      </c>
      <c r="C28" s="233"/>
      <c r="D28" s="232">
        <f>SUM(D8:D26)</f>
        <v>214319940</v>
      </c>
      <c r="E28" s="233"/>
      <c r="F28" s="232">
        <f>SUM(F10:F26)</f>
        <v>214319940</v>
      </c>
      <c r="G28" s="233"/>
      <c r="H28" s="232">
        <f>SUM(H10:H26)</f>
        <v>203327610</v>
      </c>
      <c r="I28" s="233"/>
      <c r="J28" s="234">
        <f>SUM(J8:J26)</f>
        <v>229080640</v>
      </c>
      <c r="K28" s="233"/>
      <c r="L28" s="234">
        <f>SUM(L8:L26)</f>
        <v>229080640</v>
      </c>
      <c r="M28" s="233"/>
      <c r="N28" s="234">
        <f>SUM(N8:N26)</f>
        <v>229080640</v>
      </c>
      <c r="O28" s="233"/>
      <c r="P28" s="234">
        <f>SUM(P8:P26)</f>
        <v>208319516</v>
      </c>
      <c r="Q28" s="233"/>
      <c r="R28" s="209" t="s">
        <v>39</v>
      </c>
      <c r="S28" s="196"/>
      <c r="T28" s="232">
        <f>T9+T17</f>
        <v>197488478.51000002</v>
      </c>
      <c r="U28" s="233"/>
      <c r="V28" s="232">
        <f>V9+V17</f>
        <v>176838980.28999996</v>
      </c>
      <c r="W28" s="197"/>
      <c r="X28" s="186"/>
      <c r="Y28" s="235">
        <f>Y9+Y17</f>
        <v>158233550.53</v>
      </c>
      <c r="Z28" s="235">
        <f t="shared" ref="Z28:AA28" si="2">SUM(Z9:Z27)</f>
        <v>178492705.51999998</v>
      </c>
      <c r="AA28" s="235">
        <f t="shared" si="2"/>
        <v>-1653725.2300000149</v>
      </c>
    </row>
    <row r="29" spans="1:30" ht="15.75" customHeight="1" thickTop="1">
      <c r="A29" s="193"/>
      <c r="B29" s="213"/>
      <c r="C29" s="204"/>
      <c r="D29" s="213"/>
      <c r="E29" s="204"/>
      <c r="F29" s="213"/>
      <c r="G29" s="204"/>
      <c r="H29" s="213"/>
      <c r="I29" s="204"/>
      <c r="J29" s="223"/>
      <c r="K29" s="204"/>
      <c r="L29" s="223"/>
      <c r="M29" s="204"/>
      <c r="N29" s="223"/>
      <c r="O29" s="204"/>
      <c r="P29" s="223"/>
      <c r="Q29" s="204"/>
      <c r="R29" s="214"/>
      <c r="S29" s="196"/>
      <c r="T29" s="213"/>
      <c r="U29" s="204"/>
      <c r="V29" s="213"/>
      <c r="W29" s="197"/>
      <c r="X29" s="186"/>
      <c r="Y29" s="212"/>
      <c r="Z29" s="212"/>
      <c r="AA29" s="212"/>
    </row>
    <row r="30" spans="1:30" ht="15.75" customHeight="1">
      <c r="A30" s="193"/>
      <c r="B30" s="213"/>
      <c r="C30" s="204"/>
      <c r="D30" s="213"/>
      <c r="E30" s="204"/>
      <c r="F30" s="213"/>
      <c r="G30" s="204"/>
      <c r="H30" s="213"/>
      <c r="I30" s="204"/>
      <c r="J30" s="223"/>
      <c r="K30" s="204"/>
      <c r="L30" s="223"/>
      <c r="M30" s="204"/>
      <c r="N30" s="223"/>
      <c r="O30" s="204"/>
      <c r="P30" s="223"/>
      <c r="Q30" s="204"/>
      <c r="R30" s="209" t="s">
        <v>2</v>
      </c>
      <c r="S30" s="196"/>
      <c r="T30" s="236">
        <f>SUM(T31:T46)</f>
        <v>211493663.96000004</v>
      </c>
      <c r="U30" s="204"/>
      <c r="V30" s="236">
        <f>SUM(V31:V46)</f>
        <v>184097881.61000001</v>
      </c>
      <c r="W30" s="197"/>
      <c r="X30" s="186"/>
      <c r="Y30" s="211">
        <f>SUM(Y31:Y46)</f>
        <v>150426820.53990003</v>
      </c>
      <c r="Z30" s="212"/>
      <c r="AA30" s="212"/>
    </row>
    <row r="31" spans="1:30" ht="15.75" customHeight="1">
      <c r="A31" s="193"/>
      <c r="B31" s="213">
        <v>59406166</v>
      </c>
      <c r="C31" s="204"/>
      <c r="D31" s="213">
        <v>59406166</v>
      </c>
      <c r="E31" s="204"/>
      <c r="F31" s="213">
        <v>59406166</v>
      </c>
      <c r="G31" s="204"/>
      <c r="H31" s="213">
        <v>64712196</v>
      </c>
      <c r="I31" s="204"/>
      <c r="J31" s="213">
        <v>58317410</v>
      </c>
      <c r="K31" s="204"/>
      <c r="L31" s="213">
        <v>58317410</v>
      </c>
      <c r="M31" s="204"/>
      <c r="N31" s="213">
        <v>58317410</v>
      </c>
      <c r="O31" s="204"/>
      <c r="P31" s="213">
        <v>66750316</v>
      </c>
      <c r="Q31" s="204">
        <v>60997365</v>
      </c>
      <c r="R31" s="214" t="s">
        <v>214</v>
      </c>
      <c r="S31" s="215" t="str">
        <f>[5]Note_Expenditure!A7</f>
        <v>33.</v>
      </c>
      <c r="T31" s="216">
        <v>71598208.790000007</v>
      </c>
      <c r="U31" s="204"/>
      <c r="V31" s="216">
        <v>66795556.529999994</v>
      </c>
      <c r="W31" s="197"/>
      <c r="X31" s="186"/>
      <c r="Y31" s="217">
        <f>[5]Note_Expenditure!N165</f>
        <v>55723015.1391</v>
      </c>
      <c r="Z31" s="212">
        <v>59909196.509999998</v>
      </c>
      <c r="AA31" s="212">
        <f t="shared" ref="AA31:AA46" si="3">V31-Z31</f>
        <v>6886360.0199999958</v>
      </c>
    </row>
    <row r="32" spans="1:30" ht="15.75" customHeight="1">
      <c r="A32" s="193"/>
      <c r="B32" s="213">
        <v>3276870</v>
      </c>
      <c r="C32" s="204"/>
      <c r="D32" s="213">
        <v>3276870</v>
      </c>
      <c r="E32" s="204"/>
      <c r="F32" s="213">
        <v>3276870</v>
      </c>
      <c r="G32" s="204"/>
      <c r="H32" s="213">
        <v>3408010</v>
      </c>
      <c r="I32" s="204"/>
      <c r="J32" s="213">
        <v>3578460</v>
      </c>
      <c r="K32" s="204"/>
      <c r="L32" s="213">
        <v>3578460</v>
      </c>
      <c r="M32" s="204"/>
      <c r="N32" s="213">
        <v>3578460</v>
      </c>
      <c r="O32" s="204"/>
      <c r="P32" s="213">
        <v>3392150</v>
      </c>
      <c r="Q32" s="204">
        <v>3394050</v>
      </c>
      <c r="R32" s="214" t="s">
        <v>215</v>
      </c>
      <c r="S32" s="215" t="str">
        <f>[5]Note_Expenditure!A388</f>
        <v>34.</v>
      </c>
      <c r="T32" s="218">
        <v>3147985.04</v>
      </c>
      <c r="U32" s="204"/>
      <c r="V32" s="218">
        <v>3183978.84</v>
      </c>
      <c r="W32" s="197"/>
      <c r="X32" s="186"/>
      <c r="Y32" s="219">
        <f>[5]Note_Expenditure!N419</f>
        <v>3105742.41</v>
      </c>
      <c r="Z32" s="212">
        <v>3145692.62</v>
      </c>
      <c r="AA32" s="212">
        <f t="shared" si="3"/>
        <v>38286.219999999739</v>
      </c>
    </row>
    <row r="33" spans="1:27" ht="15.75" customHeight="1">
      <c r="A33" s="193"/>
      <c r="B33" s="213">
        <v>11191500</v>
      </c>
      <c r="C33" s="204"/>
      <c r="D33" s="213">
        <v>11191500</v>
      </c>
      <c r="E33" s="204"/>
      <c r="F33" s="213">
        <v>11191500</v>
      </c>
      <c r="G33" s="204"/>
      <c r="H33" s="213">
        <v>11983820</v>
      </c>
      <c r="I33" s="204"/>
      <c r="J33" s="213">
        <v>12231200</v>
      </c>
      <c r="K33" s="204"/>
      <c r="L33" s="213">
        <v>12231200</v>
      </c>
      <c r="M33" s="204"/>
      <c r="N33" s="213">
        <v>12231200</v>
      </c>
      <c r="O33" s="204"/>
      <c r="P33" s="213">
        <v>12221732</v>
      </c>
      <c r="Q33" s="204">
        <v>12221730</v>
      </c>
      <c r="R33" s="214" t="s">
        <v>216</v>
      </c>
      <c r="S33" s="215" t="str">
        <f>[5]Note_Expenditure!A515</f>
        <v>35.</v>
      </c>
      <c r="T33" s="218">
        <v>13715868.039999999</v>
      </c>
      <c r="U33" s="204"/>
      <c r="V33" s="218">
        <v>11067395.729999999</v>
      </c>
      <c r="W33" s="197"/>
      <c r="X33" s="186"/>
      <c r="Y33" s="219">
        <f>[5]Note_Expenditure!N523</f>
        <v>11764972.258599998</v>
      </c>
      <c r="Z33" s="212">
        <v>13450418.640000001</v>
      </c>
      <c r="AA33" s="212">
        <f t="shared" si="3"/>
        <v>-2383022.910000002</v>
      </c>
    </row>
    <row r="34" spans="1:27" ht="15.75" customHeight="1">
      <c r="A34" s="193"/>
      <c r="B34" s="213">
        <f>SUM(B35:B36)</f>
        <v>8914044.2762000002</v>
      </c>
      <c r="C34" s="204"/>
      <c r="D34" s="213">
        <f>SUM(D35:D36)</f>
        <v>14076823</v>
      </c>
      <c r="E34" s="204"/>
      <c r="F34" s="213">
        <f>SUM(F35:F36)</f>
        <v>14076823</v>
      </c>
      <c r="G34" s="204"/>
      <c r="H34" s="213">
        <f>SUM(H35:H36)</f>
        <v>11583679</v>
      </c>
      <c r="I34" s="204"/>
      <c r="J34" s="223">
        <f>SUM(J35:J36)</f>
        <v>11923050</v>
      </c>
      <c r="K34" s="204"/>
      <c r="L34" s="223">
        <f>SUM(L35:L36)</f>
        <v>11923050</v>
      </c>
      <c r="M34" s="204"/>
      <c r="N34" s="223">
        <f>SUM(N35:N36)</f>
        <v>11923050</v>
      </c>
      <c r="O34" s="204"/>
      <c r="P34" s="223">
        <f>SUM(P35:P36)</f>
        <v>13748200</v>
      </c>
      <c r="Q34" s="204">
        <v>13538193</v>
      </c>
      <c r="R34" s="214" t="s">
        <v>217</v>
      </c>
      <c r="S34" s="215" t="str">
        <f>[5]Note_Expenditure!A565</f>
        <v>36.</v>
      </c>
      <c r="T34" s="218">
        <v>29203021.280000005</v>
      </c>
      <c r="U34" s="204"/>
      <c r="V34" s="218">
        <v>22200437.950000003</v>
      </c>
      <c r="W34" s="197"/>
      <c r="X34" s="186"/>
      <c r="Y34" s="219">
        <f>[5]Note_Expenditure!N571</f>
        <v>10415997.1362</v>
      </c>
      <c r="Z34" s="212">
        <v>26760485.199999999</v>
      </c>
      <c r="AA34" s="212">
        <f t="shared" si="3"/>
        <v>-4560047.2499999963</v>
      </c>
    </row>
    <row r="35" spans="1:27" ht="15.75" hidden="1" customHeight="1">
      <c r="A35" s="220"/>
      <c r="B35" s="213">
        <v>-5212825.6238000002</v>
      </c>
      <c r="C35" s="204"/>
      <c r="D35" s="213">
        <v>0</v>
      </c>
      <c r="E35" s="204"/>
      <c r="F35" s="213">
        <v>0</v>
      </c>
      <c r="G35" s="204"/>
      <c r="H35" s="213">
        <v>8</v>
      </c>
      <c r="I35" s="204"/>
      <c r="J35" s="213">
        <v>0</v>
      </c>
      <c r="K35" s="204"/>
      <c r="L35" s="213">
        <v>0</v>
      </c>
      <c r="M35" s="204"/>
      <c r="N35" s="213">
        <v>0</v>
      </c>
      <c r="O35" s="204"/>
      <c r="P35" s="213">
        <v>7</v>
      </c>
      <c r="Q35" s="204"/>
      <c r="R35" s="214" t="s">
        <v>218</v>
      </c>
      <c r="S35" s="215"/>
      <c r="T35" s="218"/>
      <c r="U35" s="204"/>
      <c r="V35" s="218"/>
      <c r="W35" s="197"/>
      <c r="X35" s="186"/>
      <c r="Y35" s="219"/>
      <c r="Z35" s="212"/>
      <c r="AA35" s="212">
        <f t="shared" si="3"/>
        <v>0</v>
      </c>
    </row>
    <row r="36" spans="1:27" ht="15.75" hidden="1" customHeight="1">
      <c r="A36" s="220"/>
      <c r="B36" s="213">
        <v>14126869.9</v>
      </c>
      <c r="C36" s="204"/>
      <c r="D36" s="213">
        <v>14076823</v>
      </c>
      <c r="E36" s="204"/>
      <c r="F36" s="213">
        <v>14076823</v>
      </c>
      <c r="G36" s="204"/>
      <c r="H36" s="213">
        <v>11583671</v>
      </c>
      <c r="I36" s="204"/>
      <c r="J36" s="213">
        <v>11923050</v>
      </c>
      <c r="K36" s="204"/>
      <c r="L36" s="213">
        <v>11923050</v>
      </c>
      <c r="M36" s="204"/>
      <c r="N36" s="213">
        <v>11923050</v>
      </c>
      <c r="O36" s="204"/>
      <c r="P36" s="213">
        <v>13748193</v>
      </c>
      <c r="Q36" s="204"/>
      <c r="R36" s="214" t="s">
        <v>219</v>
      </c>
      <c r="S36" s="215"/>
      <c r="T36" s="218"/>
      <c r="U36" s="204"/>
      <c r="V36" s="218"/>
      <c r="W36" s="197"/>
      <c r="X36" s="186"/>
      <c r="Y36" s="219"/>
      <c r="Z36" s="212"/>
      <c r="AA36" s="212">
        <f t="shared" si="3"/>
        <v>0</v>
      </c>
    </row>
    <row r="37" spans="1:27" ht="15.75" customHeight="1">
      <c r="A37" s="193"/>
      <c r="B37" s="213">
        <v>721770</v>
      </c>
      <c r="C37" s="204"/>
      <c r="D37" s="213">
        <v>721770</v>
      </c>
      <c r="E37" s="204"/>
      <c r="F37" s="213">
        <v>721770</v>
      </c>
      <c r="G37" s="204"/>
      <c r="H37" s="213">
        <v>610271</v>
      </c>
      <c r="I37" s="204"/>
      <c r="J37" s="213">
        <v>227490</v>
      </c>
      <c r="K37" s="204"/>
      <c r="L37" s="213">
        <v>227490</v>
      </c>
      <c r="M37" s="204"/>
      <c r="N37" s="213">
        <v>227490</v>
      </c>
      <c r="O37" s="204"/>
      <c r="P37" s="213">
        <v>502972</v>
      </c>
      <c r="Q37" s="204">
        <v>180970</v>
      </c>
      <c r="R37" s="214" t="s">
        <v>220</v>
      </c>
      <c r="S37" s="215" t="str">
        <f>[5]Note_Expenditure!A628</f>
        <v>37.</v>
      </c>
      <c r="T37" s="218">
        <v>4244365.82</v>
      </c>
      <c r="U37" s="204"/>
      <c r="V37" s="218">
        <v>3301250.04</v>
      </c>
      <c r="W37" s="197"/>
      <c r="X37" s="186"/>
      <c r="Y37" s="219">
        <f>[5]Note_Expenditure!N651</f>
        <v>2839764.2852000003</v>
      </c>
      <c r="Z37" s="212">
        <v>5444671.5099999998</v>
      </c>
      <c r="AA37" s="212">
        <f t="shared" si="3"/>
        <v>-2143421.4699999997</v>
      </c>
    </row>
    <row r="38" spans="1:27" ht="15.75" customHeight="1">
      <c r="A38" s="193"/>
      <c r="B38" s="213">
        <v>40200000</v>
      </c>
      <c r="C38" s="204"/>
      <c r="D38" s="213">
        <v>40200000</v>
      </c>
      <c r="E38" s="204"/>
      <c r="F38" s="213">
        <v>40200000</v>
      </c>
      <c r="G38" s="204"/>
      <c r="H38" s="213">
        <v>39670000</v>
      </c>
      <c r="I38" s="204"/>
      <c r="J38" s="213">
        <v>42693228</v>
      </c>
      <c r="K38" s="204"/>
      <c r="L38" s="213">
        <v>42693228</v>
      </c>
      <c r="M38" s="204"/>
      <c r="N38" s="213">
        <v>42693228</v>
      </c>
      <c r="O38" s="204"/>
      <c r="P38" s="213">
        <v>43008228</v>
      </c>
      <c r="Q38" s="204">
        <v>42763228</v>
      </c>
      <c r="R38" s="214" t="s">
        <v>221</v>
      </c>
      <c r="S38" s="215" t="str">
        <f>[5]Note_Expenditure!A693</f>
        <v>38.</v>
      </c>
      <c r="T38" s="218">
        <v>50752318.280000001</v>
      </c>
      <c r="U38" s="204"/>
      <c r="V38" s="218">
        <v>44276763.469999999</v>
      </c>
      <c r="W38" s="197"/>
      <c r="X38" s="186"/>
      <c r="Y38" s="219">
        <f>[5]Note_Expenditure!N698</f>
        <v>34897575.1043</v>
      </c>
      <c r="Z38" s="212">
        <v>40766710.600000001</v>
      </c>
      <c r="AA38" s="212">
        <f t="shared" si="3"/>
        <v>3510052.8699999973</v>
      </c>
    </row>
    <row r="39" spans="1:27" ht="15.75" customHeight="1">
      <c r="A39" s="193"/>
      <c r="B39" s="213">
        <v>15530770</v>
      </c>
      <c r="C39" s="204"/>
      <c r="D39" s="213">
        <v>15530770</v>
      </c>
      <c r="E39" s="204"/>
      <c r="F39" s="213">
        <v>15530770</v>
      </c>
      <c r="G39" s="204"/>
      <c r="H39" s="213">
        <v>18276264</v>
      </c>
      <c r="I39" s="204"/>
      <c r="J39" s="213">
        <v>15682040</v>
      </c>
      <c r="K39" s="204"/>
      <c r="L39" s="213">
        <v>15682040</v>
      </c>
      <c r="M39" s="204"/>
      <c r="N39" s="213">
        <v>15682040</v>
      </c>
      <c r="O39" s="204"/>
      <c r="P39" s="213">
        <v>16672214</v>
      </c>
      <c r="Q39" s="204">
        <v>18470592</v>
      </c>
      <c r="R39" s="214" t="s">
        <v>222</v>
      </c>
      <c r="S39" s="215" t="str">
        <f>[5]Note_Expenditure!A716</f>
        <v>39.</v>
      </c>
      <c r="T39" s="218">
        <v>13676794.629999999</v>
      </c>
      <c r="U39" s="204"/>
      <c r="V39" s="218">
        <v>7884700.4500000002</v>
      </c>
      <c r="W39" s="197"/>
      <c r="X39" s="186"/>
      <c r="Y39" s="219">
        <f>[5]Note_Expenditure!N722</f>
        <v>16692388.650000002</v>
      </c>
      <c r="Z39" s="212">
        <v>10455020.439999999</v>
      </c>
      <c r="AA39" s="212">
        <f t="shared" si="3"/>
        <v>-2570319.9899999993</v>
      </c>
    </row>
    <row r="40" spans="1:27" ht="15.75" customHeight="1">
      <c r="A40" s="193"/>
      <c r="B40" s="213">
        <v>4081690</v>
      </c>
      <c r="C40" s="204"/>
      <c r="D40" s="213">
        <v>4081690</v>
      </c>
      <c r="E40" s="204"/>
      <c r="F40" s="213">
        <v>4081690</v>
      </c>
      <c r="G40" s="204"/>
      <c r="H40" s="213">
        <v>3070640</v>
      </c>
      <c r="I40" s="204"/>
      <c r="J40" s="213">
        <v>6206670</v>
      </c>
      <c r="K40" s="204"/>
      <c r="L40" s="213">
        <v>6206670</v>
      </c>
      <c r="M40" s="204"/>
      <c r="N40" s="213">
        <v>6206670</v>
      </c>
      <c r="O40" s="204"/>
      <c r="P40" s="213">
        <v>9343530</v>
      </c>
      <c r="Q40" s="204">
        <v>11876620</v>
      </c>
      <c r="R40" s="214" t="s">
        <v>223</v>
      </c>
      <c r="S40" s="215" t="str">
        <f>[5]Note_Expenditure!A848</f>
        <v>40.</v>
      </c>
      <c r="T40" s="218">
        <v>3535827.11</v>
      </c>
      <c r="U40" s="204"/>
      <c r="V40" s="218">
        <v>5536169.1799999997</v>
      </c>
      <c r="W40" s="197"/>
      <c r="X40" s="186"/>
      <c r="Y40" s="219">
        <f>[5]Note_Expenditure!N859</f>
        <v>1360327.8299999998</v>
      </c>
      <c r="Z40" s="212">
        <v>2457844.16</v>
      </c>
      <c r="AA40" s="212">
        <f t="shared" si="3"/>
        <v>3078325.0199999996</v>
      </c>
    </row>
    <row r="41" spans="1:27" ht="15.75" customHeight="1">
      <c r="A41" s="193"/>
      <c r="B41" s="213">
        <v>558000</v>
      </c>
      <c r="C41" s="204"/>
      <c r="D41" s="213">
        <v>558000</v>
      </c>
      <c r="E41" s="204"/>
      <c r="F41" s="213">
        <v>558000</v>
      </c>
      <c r="G41" s="204"/>
      <c r="H41" s="213">
        <v>150000</v>
      </c>
      <c r="I41" s="204"/>
      <c r="J41" s="213">
        <v>470000</v>
      </c>
      <c r="K41" s="204"/>
      <c r="L41" s="213">
        <v>470000</v>
      </c>
      <c r="M41" s="204"/>
      <c r="N41" s="213">
        <v>470000</v>
      </c>
      <c r="O41" s="204"/>
      <c r="P41" s="213">
        <v>639000</v>
      </c>
      <c r="Q41" s="204">
        <v>470000</v>
      </c>
      <c r="R41" s="214" t="s">
        <v>224</v>
      </c>
      <c r="S41" s="215" t="str">
        <f>[5]Note_Expenditure!A893</f>
        <v>41.</v>
      </c>
      <c r="T41" s="218">
        <v>240000</v>
      </c>
      <c r="U41" s="204"/>
      <c r="V41" s="218">
        <v>245658.9</v>
      </c>
      <c r="W41" s="197"/>
      <c r="X41" s="186"/>
      <c r="Y41" s="219">
        <f>[5]Note_Expenditure!N902</f>
        <v>405612.21</v>
      </c>
      <c r="Z41" s="212">
        <v>96240.320000000007</v>
      </c>
      <c r="AA41" s="212">
        <f t="shared" si="3"/>
        <v>149418.57999999999</v>
      </c>
    </row>
    <row r="42" spans="1:27" ht="15.75" customHeight="1">
      <c r="A42" s="193"/>
      <c r="B42" s="213">
        <v>1112600</v>
      </c>
      <c r="C42" s="204"/>
      <c r="D42" s="213">
        <v>1112600</v>
      </c>
      <c r="E42" s="204"/>
      <c r="F42" s="213">
        <v>1112600</v>
      </c>
      <c r="G42" s="204"/>
      <c r="H42" s="213">
        <v>521000</v>
      </c>
      <c r="I42" s="204"/>
      <c r="J42" s="213">
        <v>206600</v>
      </c>
      <c r="K42" s="204"/>
      <c r="L42" s="213">
        <v>206600</v>
      </c>
      <c r="M42" s="204"/>
      <c r="N42" s="213">
        <v>206600</v>
      </c>
      <c r="O42" s="204"/>
      <c r="P42" s="213">
        <v>702950</v>
      </c>
      <c r="Q42" s="204">
        <v>702950</v>
      </c>
      <c r="R42" s="214" t="s">
        <v>225</v>
      </c>
      <c r="S42" s="215" t="str">
        <f>[5]Note_Expenditure!A952</f>
        <v>42.</v>
      </c>
      <c r="T42" s="218">
        <v>1205300.46</v>
      </c>
      <c r="U42" s="204"/>
      <c r="V42" s="218">
        <v>669512.42999999993</v>
      </c>
      <c r="W42" s="197"/>
      <c r="X42" s="186"/>
      <c r="Y42" s="219">
        <f>[5]Note_Expenditure!N969</f>
        <v>558970.30000000005</v>
      </c>
      <c r="Z42" s="212">
        <v>483302.07</v>
      </c>
      <c r="AA42" s="212">
        <f t="shared" si="3"/>
        <v>186210.35999999993</v>
      </c>
    </row>
    <row r="43" spans="1:27" ht="15.75" customHeight="1">
      <c r="A43" s="193"/>
      <c r="B43" s="213">
        <v>12798009</v>
      </c>
      <c r="C43" s="204"/>
      <c r="D43" s="213">
        <v>12798009</v>
      </c>
      <c r="E43" s="204"/>
      <c r="F43" s="213">
        <v>12798009</v>
      </c>
      <c r="G43" s="204"/>
      <c r="H43" s="213">
        <v>10699246</v>
      </c>
      <c r="I43" s="204"/>
      <c r="J43" s="213">
        <v>11650152</v>
      </c>
      <c r="K43" s="204"/>
      <c r="L43" s="213">
        <v>11650152</v>
      </c>
      <c r="M43" s="204"/>
      <c r="N43" s="213">
        <v>11650152</v>
      </c>
      <c r="O43" s="204"/>
      <c r="P43" s="213">
        <v>10990311</v>
      </c>
      <c r="Q43" s="204">
        <v>13151752</v>
      </c>
      <c r="R43" s="214" t="s">
        <v>226</v>
      </c>
      <c r="S43" s="215" t="str">
        <f>[5]Note_Expenditure!A1016</f>
        <v>43.</v>
      </c>
      <c r="T43" s="218">
        <v>15368140.700000003</v>
      </c>
      <c r="U43" s="204"/>
      <c r="V43" s="218">
        <v>18886536.560000006</v>
      </c>
      <c r="W43" s="197"/>
      <c r="X43" s="186"/>
      <c r="Y43" s="219">
        <f>[5]Note_Expenditure!N1099</f>
        <v>12514777.476499999</v>
      </c>
      <c r="Z43" s="212">
        <v>7038547.5300000003</v>
      </c>
      <c r="AA43" s="212">
        <f t="shared" si="3"/>
        <v>11847989.030000005</v>
      </c>
    </row>
    <row r="44" spans="1:27" ht="15.75" hidden="1" customHeight="1">
      <c r="A44" s="220"/>
      <c r="B44" s="213">
        <v>0</v>
      </c>
      <c r="C44" s="204"/>
      <c r="D44" s="213">
        <v>0</v>
      </c>
      <c r="E44" s="204"/>
      <c r="F44" s="213">
        <v>0</v>
      </c>
      <c r="G44" s="204"/>
      <c r="H44" s="213">
        <v>0</v>
      </c>
      <c r="I44" s="204"/>
      <c r="J44" s="213">
        <v>0</v>
      </c>
      <c r="K44" s="204"/>
      <c r="L44" s="213">
        <v>0</v>
      </c>
      <c r="M44" s="204"/>
      <c r="N44" s="213">
        <v>0</v>
      </c>
      <c r="O44" s="204"/>
      <c r="P44" s="213">
        <v>0</v>
      </c>
      <c r="Q44" s="204"/>
      <c r="R44" s="214" t="s">
        <v>227</v>
      </c>
      <c r="S44" s="215"/>
      <c r="T44" s="218"/>
      <c r="U44" s="204"/>
      <c r="V44" s="218"/>
      <c r="W44" s="197"/>
      <c r="X44" s="186"/>
      <c r="Y44" s="219"/>
      <c r="Z44" s="212"/>
      <c r="AA44" s="212">
        <f t="shared" si="3"/>
        <v>0</v>
      </c>
    </row>
    <row r="45" spans="1:27" ht="15.75" hidden="1" customHeight="1">
      <c r="A45" s="220"/>
      <c r="B45" s="213">
        <v>0</v>
      </c>
      <c r="C45" s="204"/>
      <c r="D45" s="213">
        <v>0</v>
      </c>
      <c r="E45" s="204"/>
      <c r="F45" s="213">
        <v>0</v>
      </c>
      <c r="G45" s="204"/>
      <c r="H45" s="213">
        <v>2</v>
      </c>
      <c r="I45" s="204"/>
      <c r="J45" s="213">
        <v>0</v>
      </c>
      <c r="K45" s="204"/>
      <c r="L45" s="213">
        <v>0</v>
      </c>
      <c r="M45" s="204"/>
      <c r="N45" s="213">
        <v>0</v>
      </c>
      <c r="O45" s="204"/>
      <c r="P45" s="213">
        <v>1</v>
      </c>
      <c r="Q45" s="204"/>
      <c r="R45" s="214" t="s">
        <v>228</v>
      </c>
      <c r="S45" s="215"/>
      <c r="T45" s="218"/>
      <c r="U45" s="204"/>
      <c r="V45" s="218"/>
      <c r="W45" s="197"/>
      <c r="X45" s="186"/>
      <c r="Y45" s="219"/>
      <c r="Z45" s="212"/>
      <c r="AA45" s="212">
        <f t="shared" si="3"/>
        <v>0</v>
      </c>
    </row>
    <row r="46" spans="1:27" ht="15.75" customHeight="1">
      <c r="A46" s="193"/>
      <c r="B46" s="204"/>
      <c r="C46" s="204"/>
      <c r="D46" s="204"/>
      <c r="E46" s="204"/>
      <c r="F46" s="204"/>
      <c r="G46" s="204"/>
      <c r="H46" s="204"/>
      <c r="I46" s="204"/>
      <c r="J46" s="223"/>
      <c r="K46" s="204"/>
      <c r="L46" s="223"/>
      <c r="M46" s="204"/>
      <c r="N46" s="223"/>
      <c r="O46" s="204"/>
      <c r="P46" s="223"/>
      <c r="Q46" s="204"/>
      <c r="R46" s="214" t="s">
        <v>229</v>
      </c>
      <c r="S46" s="215" t="str">
        <f>[5]Note_Expenditure!A1244</f>
        <v>44.</v>
      </c>
      <c r="T46" s="221">
        <v>4805833.8099999996</v>
      </c>
      <c r="U46" s="204"/>
      <c r="V46" s="221">
        <v>49921.53</v>
      </c>
      <c r="W46" s="197"/>
      <c r="X46" s="186"/>
      <c r="Y46" s="222">
        <f>[5]Note_Expenditure!N1258</f>
        <v>147677.74</v>
      </c>
      <c r="Z46" s="212">
        <v>24933.87</v>
      </c>
      <c r="AA46" s="212">
        <f t="shared" si="3"/>
        <v>24987.66</v>
      </c>
    </row>
    <row r="47" spans="1:27" ht="15.75" customHeight="1">
      <c r="A47" s="237"/>
      <c r="B47" s="213"/>
      <c r="C47" s="204"/>
      <c r="D47" s="213"/>
      <c r="E47" s="204"/>
      <c r="F47" s="213"/>
      <c r="G47" s="204"/>
      <c r="H47" s="213"/>
      <c r="I47" s="204"/>
      <c r="J47" s="223"/>
      <c r="K47" s="204"/>
      <c r="L47" s="223"/>
      <c r="M47" s="204"/>
      <c r="N47" s="223"/>
      <c r="O47" s="204"/>
      <c r="P47" s="223"/>
      <c r="Q47" s="204"/>
      <c r="R47" s="238"/>
      <c r="S47" s="196"/>
      <c r="T47" s="239"/>
      <c r="U47" s="204"/>
      <c r="V47" s="239"/>
      <c r="W47" s="240"/>
      <c r="X47" s="241"/>
      <c r="Y47" s="231"/>
      <c r="Z47" s="231"/>
      <c r="AA47" s="231"/>
    </row>
    <row r="48" spans="1:27" ht="15.75" customHeight="1" thickBot="1">
      <c r="A48" s="193"/>
      <c r="B48" s="232">
        <f>SUM(B31:B34,B37:B46)</f>
        <v>157791419.2762</v>
      </c>
      <c r="C48" s="233"/>
      <c r="D48" s="232">
        <f>SUM(D31:D34,D37:D46)</f>
        <v>162954198</v>
      </c>
      <c r="E48" s="233"/>
      <c r="F48" s="232">
        <f>SUM(F31:F34,F37:F46)</f>
        <v>162954198</v>
      </c>
      <c r="G48" s="233"/>
      <c r="H48" s="232">
        <f>SUM(H31:H34,H37:H46)</f>
        <v>164685128</v>
      </c>
      <c r="I48" s="233"/>
      <c r="J48" s="234">
        <f>SUM(J31:J34,J37:J46)</f>
        <v>163186300</v>
      </c>
      <c r="K48" s="233"/>
      <c r="L48" s="234">
        <f>SUM(L31:L34,L37:L46)</f>
        <v>163186300</v>
      </c>
      <c r="M48" s="233"/>
      <c r="N48" s="234">
        <f>SUM(N31:N34,N37:N46)</f>
        <v>163186300</v>
      </c>
      <c r="O48" s="233"/>
      <c r="P48" s="234">
        <f>SUM(P31:P34,P37:P46)</f>
        <v>177971604</v>
      </c>
      <c r="Q48" s="233"/>
      <c r="R48" s="242" t="s">
        <v>35</v>
      </c>
      <c r="S48" s="196"/>
      <c r="T48" s="232">
        <f>T30</f>
        <v>211493663.96000004</v>
      </c>
      <c r="U48" s="233"/>
      <c r="V48" s="232">
        <f>V30</f>
        <v>184097881.61000001</v>
      </c>
      <c r="W48" s="197"/>
      <c r="X48" s="186"/>
      <c r="Y48" s="235">
        <f>Y30</f>
        <v>150426820.53990003</v>
      </c>
      <c r="Z48" s="235">
        <f t="shared" ref="Z48:AA48" si="4">SUM(Z30:Z47)</f>
        <v>170033063.47</v>
      </c>
      <c r="AA48" s="235">
        <f t="shared" si="4"/>
        <v>14064818.140000001</v>
      </c>
    </row>
    <row r="49" spans="1:32" ht="15.75" customHeight="1" thickTop="1" thickBot="1">
      <c r="A49" s="193"/>
      <c r="B49" s="243"/>
      <c r="C49" s="204"/>
      <c r="D49" s="243"/>
      <c r="E49" s="204"/>
      <c r="F49" s="243"/>
      <c r="G49" s="204"/>
      <c r="H49" s="243"/>
      <c r="I49" s="204"/>
      <c r="J49" s="244"/>
      <c r="K49" s="204"/>
      <c r="L49" s="244"/>
      <c r="M49" s="204"/>
      <c r="N49" s="244"/>
      <c r="O49" s="204"/>
      <c r="P49" s="244"/>
      <c r="Q49" s="204"/>
      <c r="R49" s="245"/>
      <c r="S49" s="246"/>
      <c r="T49" s="243"/>
      <c r="U49" s="204"/>
      <c r="V49" s="243"/>
      <c r="W49" s="197"/>
      <c r="X49" s="186"/>
      <c r="Y49" s="212"/>
      <c r="Z49" s="212"/>
      <c r="AA49" s="212"/>
      <c r="AB49" s="1095" t="s">
        <v>246</v>
      </c>
      <c r="AC49" s="1096"/>
      <c r="AD49" s="1096"/>
      <c r="AE49" s="1096"/>
      <c r="AF49" s="1097"/>
    </row>
    <row r="50" spans="1:32" ht="15.75" hidden="1" customHeight="1">
      <c r="A50" s="247"/>
      <c r="B50" s="248">
        <f>+B20-B40+B45+B48</f>
        <v>155232239.2762</v>
      </c>
      <c r="C50" s="233"/>
      <c r="D50" s="248">
        <f>+D20-D40+D45+D48</f>
        <v>160395018</v>
      </c>
      <c r="E50" s="233"/>
      <c r="F50" s="248">
        <f>+F20-F40+F45+F48</f>
        <v>160395018</v>
      </c>
      <c r="G50" s="233"/>
      <c r="H50" s="248">
        <f>+H20-H40+H45+H48</f>
        <v>163024570</v>
      </c>
      <c r="I50" s="233"/>
      <c r="J50" s="249">
        <f>+J20-J40+J45+J48</f>
        <v>157165030</v>
      </c>
      <c r="K50" s="233"/>
      <c r="L50" s="249">
        <f>+L20-L40+L45+L48</f>
        <v>157165030</v>
      </c>
      <c r="M50" s="233"/>
      <c r="N50" s="249">
        <f>+N20-N40+N45+N48</f>
        <v>157165030</v>
      </c>
      <c r="O50" s="233"/>
      <c r="P50" s="249">
        <f>+P20-P40+P45+P48</f>
        <v>169039815</v>
      </c>
      <c r="Q50" s="233"/>
      <c r="R50" s="206" t="s">
        <v>230</v>
      </c>
      <c r="S50" s="196"/>
      <c r="T50" s="248">
        <f>T28-T48</f>
        <v>-14005185.450000018</v>
      </c>
      <c r="U50" s="233"/>
      <c r="V50" s="248">
        <f>V28-V48</f>
        <v>-7258901.3200000525</v>
      </c>
      <c r="W50" s="197"/>
      <c r="X50" s="186"/>
      <c r="Y50" s="250">
        <f t="shared" ref="Y50:AA50" si="5">Y28-Y48</f>
        <v>7806729.9900999665</v>
      </c>
      <c r="Z50" s="250">
        <f t="shared" si="5"/>
        <v>8459642.0499999821</v>
      </c>
      <c r="AA50" s="250">
        <f t="shared" si="5"/>
        <v>-15718543.370000016</v>
      </c>
      <c r="AB50" s="1098"/>
      <c r="AC50" s="1099"/>
      <c r="AD50" s="1099"/>
      <c r="AE50" s="1099"/>
      <c r="AF50" s="1100"/>
    </row>
    <row r="51" spans="1:32" ht="15.75" hidden="1" customHeight="1">
      <c r="A51" s="247"/>
      <c r="B51" s="204"/>
      <c r="C51" s="204"/>
      <c r="D51" s="204"/>
      <c r="E51" s="204"/>
      <c r="F51" s="204"/>
      <c r="G51" s="204"/>
      <c r="H51" s="204"/>
      <c r="I51" s="204"/>
      <c r="J51" s="208"/>
      <c r="K51" s="204"/>
      <c r="L51" s="208"/>
      <c r="M51" s="204"/>
      <c r="N51" s="208"/>
      <c r="O51" s="204"/>
      <c r="P51" s="208"/>
      <c r="Q51" s="204"/>
      <c r="R51" s="238"/>
      <c r="S51" s="196"/>
      <c r="T51" s="204"/>
      <c r="U51" s="204"/>
      <c r="V51" s="204"/>
      <c r="W51" s="197"/>
      <c r="X51" s="186"/>
      <c r="Y51" s="212"/>
      <c r="Z51" s="212"/>
      <c r="AA51" s="212"/>
      <c r="AB51" s="1098"/>
      <c r="AC51" s="1099"/>
      <c r="AD51" s="1099"/>
      <c r="AE51" s="1099"/>
      <c r="AF51" s="1100"/>
    </row>
    <row r="52" spans="1:32" ht="15.75" hidden="1" customHeight="1">
      <c r="A52" s="247"/>
      <c r="B52" s="213"/>
      <c r="C52" s="204"/>
      <c r="D52" s="213"/>
      <c r="E52" s="204"/>
      <c r="F52" s="213"/>
      <c r="G52" s="204"/>
      <c r="H52" s="213"/>
      <c r="I52" s="204"/>
      <c r="J52" s="223"/>
      <c r="K52" s="204"/>
      <c r="L52" s="223"/>
      <c r="M52" s="204"/>
      <c r="N52" s="223"/>
      <c r="O52" s="204"/>
      <c r="P52" s="223"/>
      <c r="Q52" s="204"/>
      <c r="R52" s="206" t="s">
        <v>231</v>
      </c>
      <c r="S52" s="196"/>
      <c r="T52" s="213"/>
      <c r="U52" s="204"/>
      <c r="V52" s="213"/>
      <c r="W52" s="197"/>
      <c r="X52" s="186"/>
      <c r="Y52" s="231">
        <v>178418765</v>
      </c>
      <c r="Z52" s="231">
        <f>Y52-V48</f>
        <v>-5679116.6100000143</v>
      </c>
      <c r="AA52" s="231"/>
      <c r="AB52" s="1098"/>
      <c r="AC52" s="1099"/>
      <c r="AD52" s="1099"/>
      <c r="AE52" s="1099"/>
      <c r="AF52" s="1100"/>
    </row>
    <row r="53" spans="1:32" ht="15.75" hidden="1" customHeight="1" thickBot="1">
      <c r="A53" s="247"/>
      <c r="B53" s="251"/>
      <c r="C53" s="233"/>
      <c r="D53" s="251"/>
      <c r="E53" s="233"/>
      <c r="F53" s="251"/>
      <c r="G53" s="233"/>
      <c r="H53" s="251"/>
      <c r="I53" s="233"/>
      <c r="J53" s="252"/>
      <c r="K53" s="233"/>
      <c r="L53" s="252"/>
      <c r="M53" s="233"/>
      <c r="N53" s="252"/>
      <c r="O53" s="233"/>
      <c r="P53" s="252"/>
      <c r="Q53" s="233"/>
      <c r="R53" s="242" t="s">
        <v>232</v>
      </c>
      <c r="S53" s="196"/>
      <c r="T53" s="251"/>
      <c r="U53" s="233"/>
      <c r="V53" s="251"/>
      <c r="W53" s="197"/>
      <c r="X53" s="186"/>
      <c r="Y53" s="212"/>
      <c r="Z53" s="212"/>
      <c r="AA53" s="212"/>
      <c r="AB53" s="1098"/>
      <c r="AC53" s="1099"/>
      <c r="AD53" s="1099"/>
      <c r="AE53" s="1099"/>
      <c r="AF53" s="1100"/>
    </row>
    <row r="54" spans="1:32" ht="15.75" hidden="1" customHeight="1">
      <c r="A54" s="220"/>
      <c r="B54" s="213">
        <v>0</v>
      </c>
      <c r="C54" s="204"/>
      <c r="D54" s="213">
        <v>0</v>
      </c>
      <c r="E54" s="204"/>
      <c r="F54" s="213">
        <v>0</v>
      </c>
      <c r="G54" s="204"/>
      <c r="H54" s="213">
        <v>0</v>
      </c>
      <c r="I54" s="204"/>
      <c r="J54" s="213">
        <v>0</v>
      </c>
      <c r="K54" s="204"/>
      <c r="L54" s="213">
        <v>0</v>
      </c>
      <c r="M54" s="204"/>
      <c r="N54" s="213">
        <v>0</v>
      </c>
      <c r="O54" s="204"/>
      <c r="P54" s="213">
        <v>0</v>
      </c>
      <c r="Q54" s="204"/>
      <c r="R54" s="253" t="s">
        <v>233</v>
      </c>
      <c r="S54" s="215" t="str">
        <f>[5]Note_Expenditure!A1187</f>
        <v>44.</v>
      </c>
      <c r="T54" s="213">
        <f>-[5]Note_Expenditure!I1197</f>
        <v>0</v>
      </c>
      <c r="U54" s="204"/>
      <c r="V54" s="213">
        <f>-[5]Note_Expenditure!K1197</f>
        <v>0</v>
      </c>
      <c r="W54" s="197"/>
      <c r="X54" s="186"/>
      <c r="Y54" s="212">
        <f>-[5]Note_Expenditure!N1197</f>
        <v>0</v>
      </c>
      <c r="Z54" s="212">
        <v>2444071.34</v>
      </c>
      <c r="AA54" s="212">
        <f t="shared" ref="AA54:AA55" si="6">V54-Z54</f>
        <v>-2444071.34</v>
      </c>
      <c r="AB54" s="1098"/>
      <c r="AC54" s="1099"/>
      <c r="AD54" s="1099"/>
      <c r="AE54" s="1099"/>
      <c r="AF54" s="1100"/>
    </row>
    <row r="55" spans="1:32" ht="15.75" hidden="1" customHeight="1">
      <c r="A55" s="220"/>
      <c r="B55" s="213">
        <v>0</v>
      </c>
      <c r="C55" s="204"/>
      <c r="D55" s="213">
        <v>0</v>
      </c>
      <c r="E55" s="204"/>
      <c r="F55" s="213">
        <v>0</v>
      </c>
      <c r="G55" s="204"/>
      <c r="H55" s="213">
        <v>0</v>
      </c>
      <c r="I55" s="204"/>
      <c r="J55" s="213">
        <v>0</v>
      </c>
      <c r="K55" s="204"/>
      <c r="L55" s="213">
        <v>0</v>
      </c>
      <c r="M55" s="204"/>
      <c r="N55" s="213">
        <v>0</v>
      </c>
      <c r="O55" s="204"/>
      <c r="P55" s="213">
        <v>0</v>
      </c>
      <c r="Q55" s="204"/>
      <c r="R55" s="253" t="s">
        <v>234</v>
      </c>
      <c r="S55" s="215" t="str">
        <f>[5]Note_Expenditure!A1187</f>
        <v>44.</v>
      </c>
      <c r="T55" s="213">
        <f>[5]Note_Expenditure!I1208</f>
        <v>0</v>
      </c>
      <c r="U55" s="204"/>
      <c r="V55" s="213">
        <f>[5]Note_Expenditure!K1208</f>
        <v>0</v>
      </c>
      <c r="W55" s="197"/>
      <c r="X55" s="186"/>
      <c r="Y55" s="212">
        <f>[5]Note_Expenditure!N1208</f>
        <v>0</v>
      </c>
      <c r="Z55" s="212"/>
      <c r="AA55" s="212">
        <f t="shared" si="6"/>
        <v>0</v>
      </c>
      <c r="AB55" s="1098"/>
      <c r="AC55" s="1099"/>
      <c r="AD55" s="1099"/>
      <c r="AE55" s="1099"/>
      <c r="AF55" s="1100"/>
    </row>
    <row r="56" spans="1:32" ht="15.75" hidden="1" customHeight="1">
      <c r="A56" s="247"/>
      <c r="B56" s="213"/>
      <c r="C56" s="204"/>
      <c r="D56" s="213"/>
      <c r="E56" s="204"/>
      <c r="F56" s="213"/>
      <c r="G56" s="204"/>
      <c r="H56" s="213"/>
      <c r="I56" s="204"/>
      <c r="J56" s="223"/>
      <c r="K56" s="204"/>
      <c r="L56" s="223"/>
      <c r="M56" s="204"/>
      <c r="N56" s="223"/>
      <c r="O56" s="204"/>
      <c r="P56" s="223"/>
      <c r="Q56" s="204"/>
      <c r="R56" s="245"/>
      <c r="S56" s="246"/>
      <c r="T56" s="213"/>
      <c r="U56" s="204"/>
      <c r="V56" s="213"/>
      <c r="W56" s="197"/>
      <c r="X56" s="186"/>
      <c r="Y56" s="231"/>
      <c r="Z56" s="231"/>
      <c r="AA56" s="231"/>
      <c r="AB56" s="1098"/>
      <c r="AC56" s="1099"/>
      <c r="AD56" s="1099"/>
      <c r="AE56" s="1099"/>
      <c r="AF56" s="1100"/>
    </row>
    <row r="57" spans="1:32" ht="15.75" hidden="1" customHeight="1">
      <c r="A57" s="247"/>
      <c r="B57" s="251"/>
      <c r="C57" s="233"/>
      <c r="D57" s="251"/>
      <c r="E57" s="233"/>
      <c r="F57" s="251"/>
      <c r="G57" s="233"/>
      <c r="H57" s="251"/>
      <c r="I57" s="233"/>
      <c r="J57" s="252"/>
      <c r="K57" s="233"/>
      <c r="L57" s="252"/>
      <c r="M57" s="233"/>
      <c r="N57" s="252"/>
      <c r="O57" s="233"/>
      <c r="P57" s="252"/>
      <c r="Q57" s="233"/>
      <c r="R57" s="242" t="s">
        <v>235</v>
      </c>
      <c r="S57" s="196"/>
      <c r="T57" s="251"/>
      <c r="U57" s="233"/>
      <c r="V57" s="251"/>
      <c r="W57" s="197"/>
      <c r="X57" s="186"/>
      <c r="Y57" s="212"/>
      <c r="Z57" s="212"/>
      <c r="AA57" s="212"/>
      <c r="AB57" s="1098"/>
      <c r="AC57" s="1099"/>
      <c r="AD57" s="1099"/>
      <c r="AE57" s="1099"/>
      <c r="AF57" s="1100"/>
    </row>
    <row r="58" spans="1:32" ht="15.75" hidden="1" customHeight="1">
      <c r="A58" s="220"/>
      <c r="B58" s="213"/>
      <c r="C58" s="204"/>
      <c r="D58" s="213"/>
      <c r="E58" s="204"/>
      <c r="F58" s="213"/>
      <c r="G58" s="204"/>
      <c r="H58" s="213"/>
      <c r="I58" s="204"/>
      <c r="J58" s="223"/>
      <c r="K58" s="204"/>
      <c r="L58" s="223"/>
      <c r="M58" s="204"/>
      <c r="N58" s="223"/>
      <c r="O58" s="204"/>
      <c r="P58" s="223"/>
      <c r="Q58" s="204"/>
      <c r="R58" s="245" t="s">
        <v>236</v>
      </c>
      <c r="S58" s="215" t="str">
        <f>'[5]Note_Other(a)'!A7</f>
        <v>59.</v>
      </c>
      <c r="T58" s="213">
        <f>'[5]Note_Other(a)'!K44</f>
        <v>0</v>
      </c>
      <c r="U58" s="204"/>
      <c r="V58" s="213">
        <f>'[5]Note_Other(a)'!K75</f>
        <v>0</v>
      </c>
      <c r="W58" s="197"/>
      <c r="X58" s="186"/>
      <c r="Y58" s="212"/>
      <c r="Z58" s="212"/>
      <c r="AA58" s="212">
        <f>V58-Z58</f>
        <v>0</v>
      </c>
      <c r="AB58" s="1098"/>
      <c r="AC58" s="1099"/>
      <c r="AD58" s="1099"/>
      <c r="AE58" s="1099"/>
      <c r="AF58" s="1100"/>
    </row>
    <row r="59" spans="1:32" ht="15.75" hidden="1" customHeight="1">
      <c r="A59" s="247"/>
      <c r="B59" s="213"/>
      <c r="C59" s="204"/>
      <c r="D59" s="213"/>
      <c r="E59" s="204"/>
      <c r="F59" s="213"/>
      <c r="G59" s="204"/>
      <c r="H59" s="213"/>
      <c r="I59" s="204"/>
      <c r="J59" s="223"/>
      <c r="K59" s="204"/>
      <c r="L59" s="223"/>
      <c r="M59" s="204"/>
      <c r="N59" s="223"/>
      <c r="O59" s="204"/>
      <c r="P59" s="223"/>
      <c r="Q59" s="204"/>
      <c r="R59" s="245"/>
      <c r="S59" s="246"/>
      <c r="T59" s="213"/>
      <c r="U59" s="204"/>
      <c r="V59" s="213"/>
      <c r="W59" s="197"/>
      <c r="X59" s="186"/>
      <c r="Y59" s="231"/>
      <c r="Z59" s="231"/>
      <c r="AA59" s="231"/>
      <c r="AB59" s="1098"/>
      <c r="AC59" s="1099"/>
      <c r="AD59" s="1099"/>
      <c r="AE59" s="1099"/>
      <c r="AF59" s="1100"/>
    </row>
    <row r="60" spans="1:32" ht="15.75" hidden="1" customHeight="1">
      <c r="A60" s="247"/>
      <c r="B60" s="251"/>
      <c r="C60" s="233"/>
      <c r="D60" s="251"/>
      <c r="E60" s="233"/>
      <c r="F60" s="251"/>
      <c r="G60" s="233"/>
      <c r="H60" s="251"/>
      <c r="I60" s="233"/>
      <c r="J60" s="252"/>
      <c r="K60" s="233"/>
      <c r="L60" s="252"/>
      <c r="M60" s="233"/>
      <c r="N60" s="252"/>
      <c r="O60" s="233"/>
      <c r="P60" s="252"/>
      <c r="Q60" s="233"/>
      <c r="R60" s="242" t="s">
        <v>237</v>
      </c>
      <c r="S60" s="196"/>
      <c r="T60" s="251"/>
      <c r="U60" s="233"/>
      <c r="V60" s="251"/>
      <c r="W60" s="197"/>
      <c r="X60" s="186"/>
      <c r="Y60" s="212"/>
      <c r="Z60" s="212"/>
      <c r="AA60" s="212"/>
      <c r="AB60" s="1098"/>
      <c r="AC60" s="1099"/>
      <c r="AD60" s="1099"/>
      <c r="AE60" s="1099"/>
      <c r="AF60" s="1100"/>
    </row>
    <row r="61" spans="1:32" ht="15.75" hidden="1" customHeight="1">
      <c r="A61" s="220"/>
      <c r="B61" s="251"/>
      <c r="C61" s="233"/>
      <c r="D61" s="251"/>
      <c r="E61" s="233"/>
      <c r="F61" s="251"/>
      <c r="G61" s="233"/>
      <c r="H61" s="251"/>
      <c r="I61" s="233"/>
      <c r="J61" s="223"/>
      <c r="K61" s="204"/>
      <c r="L61" s="223"/>
      <c r="M61" s="204"/>
      <c r="N61" s="223"/>
      <c r="O61" s="204"/>
      <c r="P61" s="223"/>
      <c r="Q61" s="204"/>
      <c r="R61" s="254" t="s">
        <v>238</v>
      </c>
      <c r="S61" s="215" t="str">
        <f>'[5]Note_Assets(c)'!A497</f>
        <v>18.</v>
      </c>
      <c r="T61" s="213">
        <f>'[5]Note_Assets(c)'!I534</f>
        <v>0</v>
      </c>
      <c r="U61" s="204"/>
      <c r="V61" s="213">
        <f>'[5]Note_Assets(c)'!K536</f>
        <v>0</v>
      </c>
      <c r="W61" s="197"/>
      <c r="X61" s="186"/>
      <c r="Y61" s="212"/>
      <c r="Z61" s="212"/>
      <c r="AA61" s="212">
        <f>V61-Z61</f>
        <v>0</v>
      </c>
      <c r="AB61" s="1098"/>
      <c r="AC61" s="1099"/>
      <c r="AD61" s="1099"/>
      <c r="AE61" s="1099"/>
      <c r="AF61" s="1100"/>
    </row>
    <row r="62" spans="1:32" ht="15.75" hidden="1" customHeight="1">
      <c r="A62" s="247"/>
      <c r="B62" s="213"/>
      <c r="C62" s="204"/>
      <c r="D62" s="213"/>
      <c r="E62" s="204"/>
      <c r="F62" s="213"/>
      <c r="G62" s="204"/>
      <c r="H62" s="213"/>
      <c r="I62" s="204"/>
      <c r="J62" s="223"/>
      <c r="K62" s="204"/>
      <c r="L62" s="223"/>
      <c r="M62" s="204"/>
      <c r="N62" s="223"/>
      <c r="O62" s="204"/>
      <c r="P62" s="223"/>
      <c r="Q62" s="204"/>
      <c r="R62" s="245"/>
      <c r="S62" s="246"/>
      <c r="T62" s="213"/>
      <c r="U62" s="204"/>
      <c r="V62" s="213"/>
      <c r="W62" s="197"/>
      <c r="X62" s="186"/>
      <c r="Y62" s="231"/>
      <c r="Z62" s="231"/>
      <c r="AA62" s="231"/>
      <c r="AB62" s="1098"/>
      <c r="AC62" s="1099"/>
      <c r="AD62" s="1099"/>
      <c r="AE62" s="1099"/>
      <c r="AF62" s="1100"/>
    </row>
    <row r="63" spans="1:32" ht="15.75" hidden="1" customHeight="1">
      <c r="A63" s="247"/>
      <c r="B63" s="248">
        <f>+B33-B53+B58+B61</f>
        <v>11191500</v>
      </c>
      <c r="C63" s="233"/>
      <c r="D63" s="248">
        <f>+D33-D53+D58+D61</f>
        <v>11191500</v>
      </c>
      <c r="E63" s="233"/>
      <c r="F63" s="248">
        <f>+F33-F53+F58+F61</f>
        <v>11191500</v>
      </c>
      <c r="G63" s="233"/>
      <c r="H63" s="248">
        <f>+H33-H53+H58+H61</f>
        <v>11983820</v>
      </c>
      <c r="I63" s="233"/>
      <c r="J63" s="249">
        <f>+J33-J53+J58+J61</f>
        <v>12231200</v>
      </c>
      <c r="K63" s="233"/>
      <c r="L63" s="249">
        <f>+L33-L53+L58+L61</f>
        <v>12231200</v>
      </c>
      <c r="M63" s="233"/>
      <c r="N63" s="249">
        <f>+N33-N53+N58+N61</f>
        <v>12231200</v>
      </c>
      <c r="O63" s="233"/>
      <c r="P63" s="249">
        <f>+P33-P53+P58+P61</f>
        <v>12221732</v>
      </c>
      <c r="Q63" s="233"/>
      <c r="R63" s="206" t="s">
        <v>239</v>
      </c>
      <c r="S63" s="196"/>
      <c r="T63" s="248">
        <f>SUM(T53:T62)</f>
        <v>0</v>
      </c>
      <c r="U63" s="233"/>
      <c r="V63" s="248">
        <f>SUM(V53:V62)</f>
        <v>0</v>
      </c>
      <c r="W63" s="197"/>
      <c r="X63" s="186"/>
      <c r="Y63" s="250">
        <f t="shared" ref="Y63:AA63" si="7">SUM(Y53:Y62)</f>
        <v>0</v>
      </c>
      <c r="Z63" s="250">
        <f t="shared" si="7"/>
        <v>2444071.34</v>
      </c>
      <c r="AA63" s="250">
        <f t="shared" si="7"/>
        <v>-2444071.34</v>
      </c>
      <c r="AB63" s="1098"/>
      <c r="AC63" s="1099"/>
      <c r="AD63" s="1099"/>
      <c r="AE63" s="1099"/>
      <c r="AF63" s="1100"/>
    </row>
    <row r="64" spans="1:32" ht="15.75" hidden="1" customHeight="1">
      <c r="A64" s="247"/>
      <c r="B64" s="204"/>
      <c r="C64" s="204"/>
      <c r="D64" s="204"/>
      <c r="E64" s="204"/>
      <c r="F64" s="204"/>
      <c r="G64" s="204"/>
      <c r="H64" s="204"/>
      <c r="I64" s="204"/>
      <c r="J64" s="208"/>
      <c r="K64" s="204"/>
      <c r="L64" s="208"/>
      <c r="M64" s="204"/>
      <c r="N64" s="208"/>
      <c r="O64" s="204"/>
      <c r="P64" s="208"/>
      <c r="Q64" s="204"/>
      <c r="R64" s="238"/>
      <c r="S64" s="196"/>
      <c r="T64" s="204"/>
      <c r="U64" s="204"/>
      <c r="V64" s="204"/>
      <c r="W64" s="197"/>
      <c r="X64" s="186"/>
      <c r="Y64" s="212"/>
      <c r="Z64" s="212"/>
      <c r="AA64" s="212"/>
      <c r="AB64" s="1098"/>
      <c r="AC64" s="1099"/>
      <c r="AD64" s="1099"/>
      <c r="AE64" s="1099"/>
      <c r="AF64" s="1100"/>
    </row>
    <row r="65" spans="1:35" ht="15.75" customHeight="1" thickTop="1" thickBot="1">
      <c r="A65" s="193"/>
      <c r="B65" s="248">
        <f>+B28-B48+B58+B61</f>
        <v>56528520.723800004</v>
      </c>
      <c r="C65" s="233"/>
      <c r="D65" s="248">
        <f>+D28-D48+D58+D61</f>
        <v>51365742</v>
      </c>
      <c r="E65" s="233"/>
      <c r="F65" s="248">
        <f>+F28-F48+F58+F61</f>
        <v>51365742</v>
      </c>
      <c r="G65" s="233"/>
      <c r="H65" s="248">
        <f>+H28-H48+H58+H61</f>
        <v>38642482</v>
      </c>
      <c r="I65" s="233"/>
      <c r="J65" s="249">
        <f>+J28-J48+J58+J61</f>
        <v>65894340</v>
      </c>
      <c r="K65" s="233"/>
      <c r="L65" s="249">
        <f>+L28-L48+L58+L61</f>
        <v>65894340</v>
      </c>
      <c r="M65" s="233"/>
      <c r="N65" s="249">
        <f>+N28-N48+N58+N61</f>
        <v>65894340</v>
      </c>
      <c r="O65" s="233"/>
      <c r="P65" s="249">
        <f>+P28-P48+P58+P61</f>
        <v>30347912</v>
      </c>
      <c r="Q65" s="233"/>
      <c r="R65" s="206" t="s">
        <v>240</v>
      </c>
      <c r="S65" s="196"/>
      <c r="T65" s="248">
        <f>T50+T63</f>
        <v>-14005185.450000018</v>
      </c>
      <c r="U65" s="233"/>
      <c r="V65" s="248">
        <f>V50+V63</f>
        <v>-7258901.3200000525</v>
      </c>
      <c r="W65" s="197"/>
      <c r="X65" s="186"/>
      <c r="Y65" s="250">
        <f t="shared" ref="Y65:AA65" si="8">Y50+Y63</f>
        <v>7806729.9900999665</v>
      </c>
      <c r="Z65" s="250">
        <f t="shared" si="8"/>
        <v>10903713.389999982</v>
      </c>
      <c r="AA65" s="250">
        <f t="shared" si="8"/>
        <v>-18162614.710000016</v>
      </c>
      <c r="AB65" s="1101"/>
      <c r="AC65" s="1102"/>
      <c r="AD65" s="1102"/>
      <c r="AE65" s="1102"/>
      <c r="AF65" s="1103"/>
    </row>
    <row r="66" spans="1:35" ht="15.75" customHeight="1" thickTop="1">
      <c r="A66" s="193"/>
      <c r="B66" s="204"/>
      <c r="C66" s="204"/>
      <c r="D66" s="204"/>
      <c r="E66" s="204"/>
      <c r="F66" s="204"/>
      <c r="G66" s="204"/>
      <c r="H66" s="204"/>
      <c r="I66" s="204"/>
      <c r="J66" s="208"/>
      <c r="K66" s="204"/>
      <c r="L66" s="208"/>
      <c r="M66" s="204"/>
      <c r="N66" s="208"/>
      <c r="O66" s="204"/>
      <c r="P66" s="208"/>
      <c r="Q66" s="204"/>
      <c r="R66" s="238"/>
      <c r="S66" s="196"/>
      <c r="T66" s="204"/>
      <c r="U66" s="204"/>
      <c r="V66" s="204"/>
      <c r="W66" s="197"/>
      <c r="X66" s="186"/>
      <c r="Y66" s="212"/>
      <c r="Z66" s="212"/>
      <c r="AA66" s="212"/>
      <c r="AB66" s="268" t="s">
        <v>242</v>
      </c>
      <c r="AC66" s="269" t="s">
        <v>243</v>
      </c>
      <c r="AD66" s="269" t="s">
        <v>244</v>
      </c>
      <c r="AE66" s="269" t="s">
        <v>43</v>
      </c>
      <c r="AF66" s="270" t="s">
        <v>245</v>
      </c>
    </row>
    <row r="67" spans="1:35" ht="15.75" customHeight="1">
      <c r="A67" s="193"/>
      <c r="B67" s="255">
        <v>0</v>
      </c>
      <c r="C67" s="204"/>
      <c r="D67" s="255">
        <v>0</v>
      </c>
      <c r="E67" s="204"/>
      <c r="F67" s="255">
        <v>0</v>
      </c>
      <c r="G67" s="204"/>
      <c r="H67" s="255">
        <v>0</v>
      </c>
      <c r="I67" s="204"/>
      <c r="J67" s="255">
        <v>0</v>
      </c>
      <c r="K67" s="204"/>
      <c r="L67" s="255">
        <v>0</v>
      </c>
      <c r="M67" s="204"/>
      <c r="N67" s="255">
        <v>0</v>
      </c>
      <c r="O67" s="204"/>
      <c r="P67" s="255">
        <v>0</v>
      </c>
      <c r="Q67" s="204"/>
      <c r="R67" s="206" t="s">
        <v>241</v>
      </c>
      <c r="S67" s="196"/>
      <c r="T67" s="909">
        <f>T65-AB13</f>
        <v>-14005185.450000018</v>
      </c>
      <c r="U67" s="910"/>
      <c r="V67" s="909">
        <f>V65-AB15</f>
        <v>-7258901.3200000525</v>
      </c>
      <c r="W67" s="197"/>
      <c r="X67" s="186"/>
      <c r="Y67" s="212"/>
      <c r="Z67" s="212"/>
      <c r="AA67" s="212"/>
      <c r="AB67" s="271">
        <v>-24645639.850000001</v>
      </c>
      <c r="AC67" s="272">
        <v>-12484638.649999987</v>
      </c>
      <c r="AD67" s="272">
        <v>-11781049</v>
      </c>
      <c r="AE67" s="272">
        <v>-4957074</v>
      </c>
      <c r="AF67" s="273">
        <v>-12815208.993883453</v>
      </c>
    </row>
    <row r="68" spans="1:35" ht="13.5" customHeight="1" thickBot="1">
      <c r="A68" s="256"/>
      <c r="B68" s="257"/>
      <c r="C68" s="257"/>
      <c r="D68" s="257"/>
      <c r="E68" s="257"/>
      <c r="F68" s="257"/>
      <c r="G68" s="257"/>
      <c r="H68" s="257"/>
      <c r="I68" s="257"/>
      <c r="J68" s="257"/>
      <c r="K68" s="257"/>
      <c r="L68" s="257"/>
      <c r="M68" s="257"/>
      <c r="N68" s="257"/>
      <c r="O68" s="257"/>
      <c r="P68" s="257"/>
      <c r="Q68" s="257"/>
      <c r="R68" s="258"/>
      <c r="S68" s="259"/>
      <c r="T68" s="257"/>
      <c r="U68" s="257"/>
      <c r="V68" s="257"/>
      <c r="W68" s="260"/>
      <c r="X68" s="186"/>
      <c r="Y68" s="186"/>
      <c r="Z68" s="187"/>
      <c r="AA68" s="187"/>
      <c r="AB68" s="274"/>
      <c r="AC68" s="275"/>
      <c r="AD68" s="275"/>
      <c r="AE68" s="275"/>
      <c r="AF68" s="276"/>
    </row>
    <row r="69" spans="1:35" ht="15.75" customHeight="1">
      <c r="AB69" s="284">
        <f>AH75-AH74</f>
        <v>644550.13999997824</v>
      </c>
      <c r="AC69" s="285">
        <f>AH76-AH75</f>
        <v>-5463410.6699999943</v>
      </c>
      <c r="AD69" s="285">
        <f>AH77-AH76</f>
        <v>-3192245</v>
      </c>
      <c r="AE69" s="285">
        <f>AH78-AH77</f>
        <v>-5116400.299999997</v>
      </c>
      <c r="AF69" s="286">
        <f>AH79-AH78</f>
        <v>9287563.6099999845</v>
      </c>
    </row>
    <row r="70" spans="1:35" ht="15" customHeight="1">
      <c r="AB70" s="274"/>
      <c r="AC70" s="275"/>
      <c r="AD70" s="275"/>
      <c r="AE70" s="275"/>
      <c r="AF70" s="276"/>
    </row>
    <row r="71" spans="1:35" ht="15" customHeight="1">
      <c r="AB71" s="277">
        <f>AB67-AB69</f>
        <v>-25290189.98999998</v>
      </c>
      <c r="AC71" s="278">
        <f>AC67-AC69</f>
        <v>-7021227.979999993</v>
      </c>
      <c r="AD71" s="278">
        <f>AD67-AD69</f>
        <v>-8588804</v>
      </c>
      <c r="AE71" s="279">
        <f>AE67-AE69</f>
        <v>159326.29999999702</v>
      </c>
      <c r="AF71" s="280">
        <f>AF67-AF69</f>
        <v>-22102772.603883438</v>
      </c>
    </row>
    <row r="72" spans="1:35" ht="15" customHeight="1" thickBot="1">
      <c r="R72" t="s">
        <v>56</v>
      </c>
      <c r="AB72" s="281" t="s">
        <v>247</v>
      </c>
      <c r="AC72" s="282"/>
      <c r="AD72" s="282"/>
      <c r="AE72" s="282"/>
      <c r="AF72" s="283"/>
      <c r="AH72" t="s">
        <v>249</v>
      </c>
    </row>
    <row r="73" spans="1:35" ht="15" customHeight="1"/>
    <row r="74" spans="1:35" ht="15" customHeight="1">
      <c r="R74" t="s">
        <v>88</v>
      </c>
      <c r="T74" s="261">
        <v>55431791.700000003</v>
      </c>
      <c r="AH74" s="261">
        <v>-38924203.469999984</v>
      </c>
      <c r="AI74" s="263" t="s">
        <v>83</v>
      </c>
    </row>
    <row r="75" spans="1:35" ht="15" customHeight="1">
      <c r="R75" t="s">
        <v>89</v>
      </c>
      <c r="T75" s="261">
        <v>18012992.77</v>
      </c>
      <c r="AH75" s="261">
        <v>-38279653.330000006</v>
      </c>
      <c r="AI75" s="263" t="s">
        <v>45</v>
      </c>
    </row>
    <row r="76" spans="1:35" ht="15" customHeight="1">
      <c r="R76" t="s">
        <v>90</v>
      </c>
      <c r="T76" s="261">
        <v>7039514.8899999997</v>
      </c>
      <c r="AH76" s="261">
        <v>-43743064</v>
      </c>
      <c r="AI76" s="263" t="s">
        <v>44</v>
      </c>
    </row>
    <row r="77" spans="1:35" ht="15" customHeight="1">
      <c r="R77" t="s">
        <v>57</v>
      </c>
      <c r="T77" s="261">
        <v>7456301.5199999996</v>
      </c>
      <c r="AH77" s="261">
        <v>-46935309</v>
      </c>
      <c r="AI77" t="s">
        <v>43</v>
      </c>
    </row>
    <row r="78" spans="1:35" ht="15" customHeight="1" thickBot="1">
      <c r="T78" s="262">
        <f>SUM(T74:T77)</f>
        <v>87940600.879999995</v>
      </c>
      <c r="AH78" s="261">
        <v>-52051709.299999997</v>
      </c>
      <c r="AI78" t="s">
        <v>245</v>
      </c>
    </row>
    <row r="79" spans="1:35" ht="15" customHeight="1" thickTop="1">
      <c r="AH79" s="261">
        <v>-42764145.690000013</v>
      </c>
      <c r="AI79" t="s">
        <v>248</v>
      </c>
    </row>
    <row r="80" spans="1:35" ht="15" customHeight="1"/>
    <row r="81" ht="15" customHeight="1"/>
    <row r="82" ht="15" customHeight="1"/>
    <row r="83" ht="15" customHeight="1"/>
    <row r="84" ht="15" customHeight="1"/>
    <row r="85" ht="15" customHeight="1"/>
  </sheetData>
  <mergeCells count="8">
    <mergeCell ref="F5:F6"/>
    <mergeCell ref="N5:N6"/>
    <mergeCell ref="Q5:Q7"/>
    <mergeCell ref="AB49:AF65"/>
    <mergeCell ref="B1:V1"/>
    <mergeCell ref="B2:V2"/>
    <mergeCell ref="B4:P4"/>
    <mergeCell ref="T4:V4"/>
  </mergeCells>
  <conditionalFormatting sqref="B67:C67 J67 P67">
    <cfRule type="cellIs" dxfId="15" priority="3" stopIfTrue="1" operator="between">
      <formula>0.001</formula>
      <formula>-0.001</formula>
    </cfRule>
  </conditionalFormatting>
  <conditionalFormatting sqref="L67">
    <cfRule type="cellIs" dxfId="14" priority="4" stopIfTrue="1" operator="between">
      <formula>0.001</formula>
      <formula>-0.001</formula>
    </cfRule>
  </conditionalFormatting>
  <conditionalFormatting sqref="D67 G67">
    <cfRule type="cellIs" dxfId="13" priority="5" stopIfTrue="1" operator="between">
      <formula>0.001</formula>
      <formula>-0.001</formula>
    </cfRule>
  </conditionalFormatting>
  <conditionalFormatting sqref="H67:I67">
    <cfRule type="cellIs" dxfId="12" priority="6" stopIfTrue="1" operator="between">
      <formula>0.001</formula>
      <formula>-0.001</formula>
    </cfRule>
  </conditionalFormatting>
  <conditionalFormatting sqref="E67">
    <cfRule type="cellIs" dxfId="11" priority="7" stopIfTrue="1" operator="between">
      <formula>0.001</formula>
      <formula>-0.001</formula>
    </cfRule>
  </conditionalFormatting>
  <conditionalFormatting sqref="F67">
    <cfRule type="cellIs" dxfId="10" priority="8" stopIfTrue="1" operator="between">
      <formula>0.001</formula>
      <formula>-0.001</formula>
    </cfRule>
  </conditionalFormatting>
  <conditionalFormatting sqref="N67">
    <cfRule type="cellIs" dxfId="9" priority="9" stopIfTrue="1" operator="between">
      <formula>0.001</formula>
      <formula>-0.001</formula>
    </cfRule>
  </conditionalFormatting>
  <conditionalFormatting sqref="AB67">
    <cfRule type="cellIs" dxfId="8" priority="2" stopIfTrue="1" operator="between">
      <formula>0.001</formula>
      <formula>-0.001</formula>
    </cfRule>
  </conditionalFormatting>
  <conditionalFormatting sqref="AC67">
    <cfRule type="cellIs" dxfId="7" priority="1" stopIfTrue="1" operator="between">
      <formula>0.001</formula>
      <formula>-0.001</formula>
    </cfRule>
  </conditionalFormatting>
  <hyperlinks>
    <hyperlink ref="R10" location="Fin Perform!Notes_PropertyRates" display="  Property Rates       " xr:uid="{3C97788B-0742-40D9-9A96-41CCE0C8ECF2}"/>
    <hyperlink ref="R11" location="Fin Perform!Notes_FinesPenaltiesForfeits" display="  Fines, Penalties and Forfeits       " xr:uid="{F08FA982-5697-48E7-863F-041E0980EF0E}"/>
    <hyperlink ref="R12" location="Fin Perform!Notes_LicenesAndPermits" display="  Licences and Permits       " xr:uid="{FB1F4231-9E25-4974-A1E0-EEC2B8C05C34}"/>
    <hyperlink ref="R13" location="Fin Perform!Notes_TransfersReceived" display="  Transfers and Subsidies       " xr:uid="{64CFE769-ED0D-43B4-9EBE-B2333ACC32DA}"/>
    <hyperlink ref="R14" location="Fin Perform!Notes_SurchargesTaxes" display="  Surcharges and Taxes       " xr:uid="{08DFA455-F3A5-417A-A75F-B0D26F3F8128}"/>
    <hyperlink ref="R15" location="Fin Perform!Notes_InterestDivendRevenue" display="  Interest, Dividends and Rent on Land Earned       " xr:uid="{94B96B7A-40AC-45D6-BB1F-73E8913AABFE}"/>
    <hyperlink ref="R18" location="Fin Perform!Notes_LicenesAndPermits" display="  Licences and Permits       " xr:uid="{387B5CF8-2131-4F8D-9B9A-93A44E7D3AF7}"/>
    <hyperlink ref="R19" location="Fin Perform!Notes_ServiceCharges" display="  Service Charges       " xr:uid="{8D5D3297-4644-4BC9-A028-79A9A581899D}"/>
    <hyperlink ref="R20" location="Fin Perform!Notes_SaleOfGoods" display="  Sales of Goods and Rendering of Services       " xr:uid="{4508D90B-2B70-4790-88C6-16DDE6832AE4}"/>
    <hyperlink ref="R21" location="Fin Perform!Notes_IncomeAgencyServices" display="  Income from Agency Services       " xr:uid="{64C35222-5480-4945-9CA7-D376F34D7245}"/>
    <hyperlink ref="R22" location="Fin Perform!Notes_RentalFixedAssets" display="  Rental from Fixed Assets       " xr:uid="{5A097CB1-1203-49CB-8AF4-E8A52340FDDA}"/>
    <hyperlink ref="R23" location="Fin Perform!Notes_InterestDivendRevenue" display="  Interest, Dividends and Rent on Land Earned       " xr:uid="{96F51217-D6E4-49A4-81D6-DFA83309A1F2}"/>
    <hyperlink ref="R24" location="Fin Perform!Notes_OperationalRevenue" display="  Operational Revenue       " xr:uid="{8B7C7E52-CBA9-4B8E-B1C4-74AFF4E08912}"/>
    <hyperlink ref="R25" location="Fin Perform!Notes_IntercompanyTransactions" display="  Intercompany/Parent-subsidiary Transactions       " xr:uid="{BFC32E40-492A-4768-926B-1DC0A30FD3E9}"/>
    <hyperlink ref="R26" location="Fin Perform!Notes_GainsLossesDisposalPPE" display="  Gains on Disposal of Property, Plant and Equipment       " xr:uid="{7C511AAB-9113-4921-B379-1F018514839C}"/>
    <hyperlink ref="R31" location="Fin Perform!Notes_EmployeeRelatedCost" display="  Employee Related Costs       " xr:uid="{8B3C67AA-9A28-4E42-B71E-8588B42FEEE0}"/>
    <hyperlink ref="R32" location="Fin Perform!Notes_RemunerationCouncillors" display="  Remuneration of Councillors       " xr:uid="{952E506E-48C0-4C94-A575-EB3A5CBDA7D3}"/>
    <hyperlink ref="R33" location="Fin Perform!Notes_DepreciationAmortisation" display="  Depreciation and Amortisation       " xr:uid="{9E23274B-D93F-4C95-9132-F1C0774FD522}"/>
    <hyperlink ref="R34" location="Fin Perform!Notes_ImpairmentLosses" display="  Impairment Losses       " xr:uid="{74CA3627-C054-44D7-892B-E7F0F1628771}"/>
    <hyperlink ref="R37" location="Fin Perform!Notes_InterestDividendExpens" display="  Interest, Dividends and Rent on Land       " xr:uid="{35C7E7DF-5DF9-40DC-9E75-7BA60C4AD6C8}"/>
    <hyperlink ref="R38" location="Fin Perform!Notes_BulkPurchases" display="  Bulk Purchases       " xr:uid="{0A692DAD-5557-4A35-811F-285296638E53}"/>
    <hyperlink ref="R39" location="Fin Perform!Notes_ContractedServices" display="  Contracted Services       " xr:uid="{E9577BB6-9DDB-4D97-AD99-F4C8E714DA54}"/>
    <hyperlink ref="R40" location="Fin Perform!Notes_InventoryConsumed" display="  Inventory Consumed       " xr:uid="{7FBC5720-5C60-4C8F-8DD8-D33C4B6552D4}"/>
    <hyperlink ref="R41" location="Fin Perform!Notes_TransfersSubsidiesPaid" display="  Transfers and Subsidies Paid       " xr:uid="{FBD4D5EB-CA48-4E4D-8841-C2A4D55A5A9E}"/>
    <hyperlink ref="R42" location="Fin Perform!Notes_OperatingLeasesPaid" display="  Operating Leases       " xr:uid="{DBF141D8-5514-47EC-B197-ABB1ADE42532}"/>
    <hyperlink ref="R43" location="Fin Perform!Notes_OperationalCosts" display="  Operational Costs       " xr:uid="{6970A0CF-657E-4B5D-ABDB-DE266D123E0A}"/>
    <hyperlink ref="R46" location="Note_Expenditure!B1033" display="  Loss on Disposal of Property, Plant and Equipment   " xr:uid="{0484B985-5DFE-48AE-9198-D6AC1AF47745}"/>
    <hyperlink ref="R54" location="Fin Perform!Notes_GainsLossesOtherOpe" display="  Gains on Other Operations       " xr:uid="{6F3084A2-31FA-4759-8574-DAA7795F02B9}"/>
    <hyperlink ref="R55" location="Note_Expenditure!B985" display="  Losses on Other Operations   " xr:uid="{51209D42-482A-4A61-BD16-C11020891269}"/>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Funding Plan</vt:lpstr>
      <vt:lpstr>Assumptions</vt:lpstr>
      <vt:lpstr>Elec</vt:lpstr>
      <vt:lpstr>Services</vt:lpstr>
      <vt:lpstr>Impairment</vt:lpstr>
      <vt:lpstr>Progress</vt:lpstr>
      <vt:lpstr>SA30</vt:lpstr>
      <vt:lpstr>A7</vt:lpstr>
      <vt:lpstr>AFS &amp; Performance History</vt:lpstr>
      <vt:lpstr>Funding Activities</vt:lpstr>
      <vt:lpstr>Funding_2023</vt:lpstr>
      <vt:lpstr>CashFlow</vt:lpstr>
      <vt:lpstr>C4 - JAN 2024</vt:lpstr>
      <vt:lpstr>Payroll_draft_actuals</vt:lpstr>
      <vt:lpstr>Expenditure</vt:lpstr>
      <vt:lpstr>Revenue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Venter</dc:creator>
  <cp:lastModifiedBy>Rudi</cp:lastModifiedBy>
  <cp:lastPrinted>2024-02-28T07:55:32Z</cp:lastPrinted>
  <dcterms:created xsi:type="dcterms:W3CDTF">2021-04-22T07:14:00Z</dcterms:created>
  <dcterms:modified xsi:type="dcterms:W3CDTF">2024-02-28T08:59:45Z</dcterms:modified>
</cp:coreProperties>
</file>